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tables/table5.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cjdelke\Code\SuncalPublic-PagesBranch\excel\"/>
    </mc:Choice>
  </mc:AlternateContent>
  <xr:revisionPtr revIDLastSave="0" documentId="13_ncr:1_{66865C7A-3D3C-4C06-A466-E695C62A346B}" xr6:coauthVersionLast="47" xr6:coauthVersionMax="47" xr10:uidLastSave="{00000000-0000-0000-0000-000000000000}"/>
  <bookViews>
    <workbookView xWindow="2570" yWindow="1580" windowWidth="28800" windowHeight="15370" tabRatio="985" xr2:uid="{BAE7A42F-4218-4A8C-B439-7C00D70CD88E}"/>
  </bookViews>
  <sheets>
    <sheet name="Instructions" sheetId="6" r:id="rId1"/>
    <sheet name="MAP-TUR" sheetId="15" r:id="rId2"/>
    <sheet name="MAP-PFA" sheetId="2" r:id="rId3"/>
    <sheet name="Equipment" sheetId="17" r:id="rId4"/>
    <sheet name="Type A - Repeatability" sheetId="19" r:id="rId5"/>
    <sheet name="Type A - Reproducibility" sheetId="9" r:id="rId6"/>
    <sheet name="GUM Uncertainty" sheetId="23" r:id="rId7"/>
    <sheet name="Intervals" sheetId="22" r:id="rId8"/>
    <sheet name="SPC" sheetId="21" r:id="rId9"/>
    <sheet name="Prof.Test" sheetId="20" r:id="rId10"/>
    <sheet name="Risk Calculator" sheetId="7" r:id="rId11"/>
    <sheet name="Criticality Levels" sheetId="3" r:id="rId12"/>
    <sheet name="Formula Reference" sheetId="24" state="hidden" r:id="rId13"/>
    <sheet name="Release Notes" sheetId="14" r:id="rId14"/>
    <sheet name="Lookup" sheetId="1" r:id="rId15"/>
  </sheets>
  <definedNames>
    <definedName name="__GUM_MODEL" comment="User-defined measurement equation. Defaults to the Pitot-Tube example from Kline-McClintock paper: =LAMBDA(delta,t,rs,p,SQRT(2*delta*t*rs/p))" localSheetId="6">_xlfn.LAMBDA(_xlpm.delta,_xlpm.t,_xlpm.rs,_xlpm.p,SQRT(2*_xlpm.delta*_xlpm.t*_xlpm.rs/_xlpm.p))</definedName>
    <definedName name="BIVARIATE_NORMCDF" comment="Compute integral of standard bivariate normal distribution with correlation rho from (-infty..p), (-infty..q). See https://doi.org/10.1080/03610918.2021.1884718 (only cases 4 and 5).">_xlfn.LAMBDA(_xlpm.p,_xlpm.q,_xlpm.rho,     _xlfn.LET(         _xlpm.cx, -1.0950081470333,         _xlpm.cy, -0.75651138383854,         _xlpm.d, SQRT(1-_xlpm.rho^2),         _xlpm.a, -_xlpm.rho/_xlpm.d,         _xlpm.b, _xlpm.p/_xlpm.d,         _xlpm.aqplusb, _xlpm.a*_xlpm.q + _xlpm.b,         _xlpm.z, 1-_xlpm.a^2*_xlpm.cy,         _xlpm.sqrtz, SQRT(_xlpm.z),         _xlpm.sqrt2, SQRT(2),         IF(_xlpm.a&gt;=0, "A&gt;0",              IF(_xlpm.aqplusb&gt;=0,                  0.5 + 0.5 * ERF(_xlpm.q/_xlpm.sqrt2)                 - 1/(4*_xlpm.sqrtz) * EXP((_xlpm.a^2*_xlpm.cx^2+2*_xlpm.sqrt2*_xlpm.b*_xlpm.cx+2*_xlpm.b^2*_xlpm.cy)/(4*_xlpm.z))                 * (1 + ERF((_xlpm.sqrt2*_xlpm.q - _xlpm.sqrt2*_xlpm.a^2*_xlpm.cy*_xlpm.q - _xlpm.sqrt2*_xlpm.a*_xlpm.b*_xlpm.cy - _xlpm.a*_xlpm.cx)/(2*_xlpm.sqrtz))),                  0.5 - 0.5 * ERF(_xlpm.b/(_xlpm.sqrt2*_xlpm.a))                 - 1/(4*_xlpm.sqrtz) * EXP((_xlpm.a^2*_xlpm.cx^2+2*_xlpm.sqrt2*_xlpm.b*_xlpm.cx+2*_xlpm.b^2*_xlpm.cy)/(4*_xlpm.z))                 * (1 - ERF((_xlpm.sqrt2*_xlpm.b + _xlpm.a^2*_xlpm.cx)/(2*_xlpm.a*_xlpm.sqrtz)))                 + 1/(4*_xlpm.sqrtz) * EXP((_xlpm.a^2*_xlpm.cx^2-2*_xlpm.sqrt2*_xlpm.b*_xlpm.cx+2*_xlpm.b^2*_xlpm.cy)/(4*_xlpm.z))                     * (ERF((_xlpm.sqrt2*_xlpm.q-_xlpm.sqrt2*_xlpm.a^2*_xlpm.cy*_xlpm.q - _xlpm.sqrt2*_xlpm.a*_xlpm.b*_xlpm.cy + _xlpm.a*_xlpm.cx)/(2*_xlpm.sqrtz))                 + ERF((-(_xlpm.a^2)*_xlpm.cx + _xlpm.sqrt2*_xlpm.b)/(2*_xlpm.a*_xlpm.sqrtz)))             )         )     ) )</definedName>
    <definedName name="ChangeConfidence" localSheetId="7">Intervals!$J$9</definedName>
    <definedName name="EQUIPMENT_LOOKUP" comment="Look up Equipment Accuracy from the EquipmentSpecs table. Adds %reading to %range and other uncertainties in the table.">_xlfn.LAMBDA(_xlpm.name,_xlpm.rangename,_xlpm.reading,         _xlfn.LET(             _xlpm.pctreading, _xlfn.XLOOKUP(                 1, (EquipmentSpecs[Equipment/Function]=_xlpm.name)*(EquipmentSpecs[Range Name]=_xlpm.rangename),                 EquipmentSpecs[%Reading], 0),             _xlpm.const, _xlfn.XLOOKUP(                     1, (EquipmentSpecs[Equipment/Function]=_xlpm.name)*(EquipmentSpecs[Range Name]=_xlpm.rangename),                         EquipmentSpecs[Combined Constant], 0),             _xlpm.pctreading*_xlpm.reading + _xlpm.const             ) )</definedName>
    <definedName name="GB_MAXPFA" comment="Get maximum allowable PFA from criticality table">_xlfn.LAMBDA(_xlpm.criticality, INDEX(CriticalityLevels[MaxPfa], MATCH(_xlpm.criticality,CriticalityLevels[Level]), 0))</definedName>
    <definedName name="GB_MINTUR" comment="Get minimum allowable TUR from criticality table">_xlfn.LAMBDA(_xlpm.criticality, INDEX(CriticalityLevels[MinTur], MATCH(_xlpm.criticality,CriticalityLevels[Level]), 0))</definedName>
    <definedName name="GB_NEEDED" comment="Determine whether guardbanding is needed per the criticality level and criticality table.">_xlfn.LAMBDA(_xlpm.gbmethod,_xlpm.turval,_xlpm.pfaval,_xlpm.criticality,         _xlfn.IFS(_xlpm.gbmethod="RDS", _xlpm.turval&lt;GB_MINTUR(_xlpm.criticality),             _xlpm.gbmethod="PFA", _xlpm.pfaval&gt;GB_MAXPFA(_xlpm.criticality),             TRUE, FALSE         )     )</definedName>
    <definedName name="GB_WIDTH" comment="Calculate guardbanded acceptance limits if needed, based on the guardbanding method and criticality level.">_xlfn.LAMBDA(_xlpm.gbmethod,_xlpm.turval,_xlpm.tl,_xlpm.tu,_xlpm.nom,_xlpm.unc,_xlpm.psig,_xlpm.criticality,     _xlfn.IFS(_xlpm.gbmethod="RDS", GBW_RDS(_xlpm.turval,_xlpm.unc,_xlpm.tl,_xlpm.tu),         _xlpm.gbmethod="PFA", _xlfn.LET(             _xlpm.mpfa, GB_MAXPFA(_xlpm.criticality),             GBW_TARGET(_xlpm.tl,_xlpm.tu,_xlpm.nom,_xlpm.unc/2,_xlpm.psig,_xlpm.mpfa)         )     ) )</definedName>
    <definedName name="GBW_RDS" comment="Calculate guardband width using RDS method">_xlfn.LAMBDA(_xlpm.tur,_xlpm.unc,_xlpm.tl,_xlpm.tu,         IF(ISNUMBER(_xlpm.tur),             IF(_xlpm.tur&gt;=1,                 _xlpm.unc*(_xlpm.tur*(1-(SQRT(1-1/_xlpm.tur^2)))),                 (_xlpm.tu-_xlpm.tl)/2             ),             _xlpm.unc         )     )</definedName>
    <definedName name="GBW_TARGET" comment="Calculate guardband width to target the desired PFA. Results in symmetric guardband widths. Solved numerically.">_xlfn.LAMBDA(_xlpm.tl,_xlpm.tu,_xlpm.nom,_xlpm.sigt,_xlpm.sigp,_xlpm.pfaval,     _xlfn.IFS(AND(ISNUMBER(_xlpm.tl), ISNUMBER(_xlpm.tu)), _xlfn.LET(             _xlpm.func, _xlfn.LAMBDA(_xlpm.x, PFA(_xlpm.tl,_xlpm.tu,_xlpm.tl+_xlpm.x,_xlpm.tu-_xlpm.x,_xlpm.nom,_xlpm.sigt,_xlpm.sigp)),             L_SOLVE_NR(_xlpm.func, _xlpm.sigt/10, _xlpm.pfaval, _xlpm.sigt/100, _xlpm.sigt/5000, 25)         ),         ISNUMBER(_xlpm.tl), _xlfn.LET(             _xlpm.func, _xlfn.LAMBDA(_xlpm.x, PFA_ASYMMETRIC(NA(),_xlpm.tu,NA(),_xlpm.tu-_xlpm.x,_xlpm.nom,_xlpm.sigt,_xlpm.sigp)),             L_SOLVE_NR(_xlpm.func, _xlpm.sigt/10, _xlpm.pfaval, _xlpm.sigt/100, _xlpm.sigt/5000, 25)         ),         ISNUMBER(_xlpm.tu), _xlfn.LET(             _xlpm.func, _xlfn.LAMBDA(_xlpm.x, PFA_ASYMMETRIC(_xlpm.tl,NA(),_xlpm.tl+_xlpm.x,NA(),_xlpm.nom,_xlpm.sigt,_xlpm.sigp)),             L_SOLVE_NR(_xlpm.func, _xlpm.sigt/10, _xlpm.pfaval, _xlpm.sigt/100, _xlpm.sigt/5000, 25)         )     ) )</definedName>
    <definedName name="GUM_DEGF" comment="Calculate effective degrees of freedom using Welch-Satterthwaite">_xlfn.LAMBDA(_xlpm.varcombined,_xlpm.uncerts,_xlpm.dfdx,_xlpm.degfs,     _xlfn.LET(_xlpm.s_over_d, _xlpm.uncerts^4*_xlpm.dfdx^4/_xlpm.degfs,         _xlpm.varcombined^2 / SUM(_xlfn._xlws.FILTER(_xlpm.s_over_d, NOT(ISERROR(_xlpm.s_over_d))))     ) )</definedName>
    <definedName name="GUM_DFDX" comment="Calculate GUM sensitivity coefficients">_xlfn.LAMBDA(_xlpm.values,_xlpm.uncs,_xlpm.function,     _xlfn.MAP(_xlfn.SEQUENCE(8), _xlfn.LAMBDA(_xlpm.k,         _xlfn.LET(_xlpm.eps, GUM_EPSILON(_xlpm.uncs, _xlpm.k),             _xlpm.plus, GUM_EVAL(_xlpm.values+_xlpm.eps, _xlpm.function),             _xlpm.minus, GUM_EVAL(_xlpm.values-_xlpm.eps, _xlpm.function),             _xlpm.dfdx, (_xlpm.plus-_xlpm.minus)/(INDEX(_xlpm.eps,_xlpm.k)*2),             IF(INDEX(_xlpm.eps,_xlpm.k)=0, 0, IFERROR(_xlpm.dfdx, ""))         )     )) )</definedName>
    <definedName name="GUM_EPSILON" comment="Difference used in numerical differentiation of GUM">_xlfn.LAMBDA(_xlpm.uncs,_xlpm.i,     _xlfn.MAP(_xlfn.SEQUENCE(8),         _xlfn.LAMBDA(_xlpm.k, IF(_xlpm.k=_xlpm.i, INDEX(_xlpm.uncs,_xlpm.k)/1000, 0))     ) )</definedName>
    <definedName name="GUM_EVAL" comment="Evaluate the function with arbitrary number (up to 8) of variables">_xlfn.LAMBDA(_xlpm.values,_xlpm.function,     IFERROR(_xlpm.function(INDEX(_xlpm.values,1),INDEX(_xlpm.values,2),INDEX(_xlpm.values,3),INDEX(_xlpm.values,4),INDEX(_xlpm.values,5),INDEX(_xlpm.values,6),INDEX(_xlpm.values,7),INDEX(_xlpm.values,8)),     IFERROR(_xlpm.function(INDEX(_xlpm.values,1),INDEX(_xlpm.values,2),INDEX(_xlpm.values,3),INDEX(_xlpm.values,4),INDEX(_xlpm.values,5),INDEX(_xlpm.values,6),INDEX(_xlpm.values,7)),     IFERROR(_xlpm.function(INDEX(_xlpm.values,1),INDEX(_xlpm.values,2),INDEX(_xlpm.values,3),INDEX(_xlpm.values,4),INDEX(_xlpm.values,5),INDEX(_xlpm.values,6)),     IFERROR(_xlpm.function(INDEX(_xlpm.values,1),INDEX(_xlpm.values,2),INDEX(_xlpm.values,3),INDEX(_xlpm.values,4),INDEX(_xlpm.values,5)),     IFERROR(_xlpm.function(INDEX(_xlpm.values,1),INDEX(_xlpm.values,2),INDEX(_xlpm.values,3),INDEX(_xlpm.values,4)),     IFERROR(_xlpm.function(INDEX(_xlpm.values,1),INDEX(_xlpm.values,2),INDEX(_xlpm.values,3)),     IFERROR(_xlpm.function(INDEX(_xlpm.values,1),INDEX(_xlpm.values,2)),     _xlpm.function(INDEX(_xlpm.values,1))))))))))</definedName>
    <definedName name="GUM_VARIANCE" comment="Compute variance of model using GUM equation">_xlfn.LAMBDA(_xlpm.uncerts,_xlpm.dfdx,     _xlfn.LET(_xlpm.x, _xlpm.uncerts*_xlpm.dfdx,         SUMSQ(_xlfn._xlws.FILTER(_xlpm.x, NOT(ISERROR(_xlpm.x))))     ) )</definedName>
    <definedName name="GUMOutputVariance" localSheetId="6">'GUM Uncertainty'!$L$6</definedName>
    <definedName name="GUMSensitivities" localSheetId="6">'GUM Uncertainty'!$Q$6:$Q$13</definedName>
    <definedName name="GUMStdUncerts" localSheetId="6">'GUM Uncertainty'!$P$6</definedName>
    <definedName name="GUMVariance" localSheetId="6">'GUM Uncertainty'!$L$8</definedName>
    <definedName name="IntervalTolerance" localSheetId="7">Intervals!$J$7</definedName>
    <definedName name="IS_SYMMETRIC" comment="Determine whether the tolerance is symmetric about the nominal.">_xlfn.LAMBDA(_xlpm.tl,_xlpm.tu,_xlpm.al,_xlpm.au,_xlpm.nom,     _xlfn.IFS(ISERROR(_xlpm.tu-_xlpm.nom), FALSE,         ISERROR(_xlpm.nom-_xlpm.tl), FALSE,         ISERROR(_xlpm.au-_xlpm.nom), FALSE,         ISERROR(_xlpm.al-_xlpm.nom), FALSE,         ABS((_xlpm.tu-_xlpm.nom)-(_xlpm.nom-_xlpm.tl))&gt;0.000000001, FALSE,         ABS((_xlpm.al-_xlpm.nom)-(_xlpm.nom-_xlpm.al))&gt;0.000000001, FALSE,         TRUE, TRUE     ) )</definedName>
    <definedName name="L_SIMPSON" comment="Performs Simpson numeric integration on the LAMDA function. Based on https://www.vertex42.com/lambda/simpson.html.">_xlfn.LAMBDA(_xlpm.lower,_xlpm.upper,_xlpm.dx,_xlpm.f, _xlfn.LET(_xlpm.seq_, _xlfn.SEQUENCE(0+(_xlpm.upper-_xlpm.lower)/_xlpm.dx,1,_xlpm.lower+_xlpm.dx,_xlpm.dx), _xlfn.REDUCE(0, _xlpm.seq_, _xlfn.LAMBDA(_xlpm.acc,_xlpm.b, _xlpm.acc + ((_xlpm.dx) / 6) * (_xlpm.f(_xlpm.b - _xlpm.dx) + 4 * _xlpm.f((2 * _xlpm.b - _xlpm.dx) / 2) + _xlpm.f(_xlpm.b))))))</definedName>
    <definedName name="L_SOLVE_NR" comment="Newton-Raphson method for finding f(x) = 0 on LAMBDA function. From https://www.vertex42.com/lambda/newton-raphson.html">_xlfn.LAMBDA(_xlpm.function,_xlpm.xstart,_xlop.y,_xlop.xstep,_xlop.epsilon,_xlop.iterations,_xlop.info, _xlfn.LET(_xlpm.doc,"https://www.vertex42.com/lambda/newton-raphson.html",     _xlpm.version,"1.0.0",     _xlpm.n,ROWS(_xlpm.xstart),     _xlpm.y,IF(_xlfn.ISOMITTED(_xlpm.y),0,_xlpm.y),     _xlpm.xstep,IF(_xlfn.ISOMITTED(_xlpm.xstep),0.1,_xlpm.xstep),     _xlpm.epsilon,IF(_xlfn.ISOMITTED(_xlpm.epsilon),0.00000000000001,_xlpm.epsilon),     _xlpm.iterations,IF(_xlfn.ISOMITTED(_xlpm.iterations),20,_xlpm.iterations),     _xlpm.ret,_xlfn.REDUCE({"x","Fx","Iterations"},_xlfn.SEQUENCE(_xlpm.n),_xlfn.LAMBDA(_xlpm.acc_row,_xlpm.i,         _xlfn.VSTACK(_xlpm.acc_row,         _xlfn.REDUCE(             _xlfn.HSTACK(INDEX(_xlpm.xstart,_xlpm.i),_xlpm.function(INDEX(_xlpm.xstart,_xlpm.i))-_xlpm.y,0),             _xlfn.SEQUENCE(_xlpm.iterations),             _xlfn.LAMBDA(_xlpm.acc,_xlpm.k,             _xlfn.LET(_xlpm.cur_row,_xlfn.TAKE(_xlpm.acc,-1),                 IF(ABS(INDEX(_xlpm.cur_row,1,2))&lt;ABS(_xlpm.epsilon),_xlpm.acc,                     _xlfn.LET(                         _xlpm.xn,INDEX(_xlpm.cur_row,1,1),                         _xlpm.fn,INDEX(_xlpm.cur_row,1,2),                         _xlpm.fprimen,(_xlpm.function(_xlpm.xn+_xlpm.xstep)-_xlpm.y-_xlpm.fn)/_xlpm.xstep,                         _xlpm.xnew,_xlpm.xn-_xlpm.fn/_xlpm.fprimen,                         _xlpm.fnew,_xlpm.function(_xlpm.xnew)-_xlpm.y,                         _xlpm.new_row,_xlfn.HSTACK(_xlpm.xnew,_xlpm.fnew,_xlpm.k),                         _xlpm.output,IF(_xlpm.info="verbose",_xlfn.VSTACK(_xlpm.acc,_xlpm.new_row),_xlpm.new_row),                         _xlpm.output                     )                 )             ))         ))     )),     IF(OR(_xlpm.info=TRUE,_xlpm.info="verbose"),_xlpm.ret,_xlfn.DROP(_xlpm.ret,1,-2)) ))</definedName>
    <definedName name="MaxChange" localSheetId="7">Intervals!$J$10</definedName>
    <definedName name="MeasurandCoverageFactor" localSheetId="6">'GUM Uncertainty'!$F$7:$F$14</definedName>
    <definedName name="MeasurandDegf" localSheetId="6">'GUM Uncertainty'!$G$7:$G$14</definedName>
    <definedName name="MeasurandNames" localSheetId="6">'GUM Uncertainty'!$B$7:$B$14</definedName>
    <definedName name="MeasurandUncertainty" localSheetId="6">'GUM Uncertainty'!$E$7:$E$14</definedName>
    <definedName name="MeasuredValues" localSheetId="6">'GUM Uncertainty'!$C$7:$C$14</definedName>
    <definedName name="NumCals" localSheetId="7">Intervals!$J$13</definedName>
    <definedName name="NumPass" localSheetId="7">Intervals!$J$14</definedName>
    <definedName name="PFA" comment="Calculate global/average probability of false accept given tolerance, guardband, measurement uncertainty, and product standard deviation. Assumes normal distributions.">_xlfn.LAMBDA(_xlpm.tl,_xlpm.tu,_xlpm.al,_xlpm.au,_xlpm.nom,_xlpm.sigt,_xlpm.sigp,     IF(IS_SYMMETRIC(_xlpm.tl,_xlpm.tu,_xlpm.al,_xlpm.au,_xlpm.nom), PFA_SYMMETRIC((_xlpm.tu-_xlpm.tl)/2, (_xlpm.au-_xlpm.al)/2, _xlpm.sigt, _xlpm.sigp),        PFA_ASYMMETRIC(_xlpm.tl, _xlpm.tu, _xlpm.al, _xlpm.au, _xlpm.nom, _xlpm.sigt, _xlpm.sigp)     ) )</definedName>
    <definedName name="PFA_ASYMMETRIC" comment="Compute global PFA for asymmetric tolerances (nominal not centered, or one-sided limits).">_xlfn.LAMBDA(_xlpm.tl,_xlpm.tu,_xlpm.al,_xlpm.au,_xlpm.nom,_xlpm.sigt,_xlpm.sigp,     _xlfn.LET(_xlpm.sp, _xlpm.sigp,         _xlpm.st, SQRT(_xlpm.sigt^2 + _xlpm.sigp^2),         _xlpm.rho, SQRT(_xlpm.sigp^2 / (_xlpm.sigp^2+_xlpm.sigt^2)),         _xlpm.ttl, IF(ISNUMBER(_xlpm.tl), _xlpm.tl, -1E+99),         _xlpm.ttu, IF(ISNUMBER(_xlpm.tu), _xlpm.tu, 1E+99),         _xlpm.aal, IF(ISNUMBER(_xlpm.al), _xlpm.al, _xlpm.ttl),         _xlpm.aau, IF(ISNUMBER(_xlpm.au), _xlpm.au, _xlpm.ttu),         _xlpm.pfaleft, IF(ISNUMBER(_xlpm.ttl), BIVARIATE_NORMCDF((_xlpm.aau-_xlpm.nom)/_xlpm.st, (_xlpm.ttl-_xlpm.nom)/_xlpm.sp, _xlpm.rho) - BIVARIATE_NORMCDF((_xlpm.aal-_xlpm.nom)/_xlpm.st, (_xlpm.ttl-_xlpm.nom)/_xlpm.sp, _xlpm.rho), 0),         _xlpm.pfarght, IF(ISNUMBER(_xlpm.ttu), BIVARIATE_NORMCDF((-_xlpm.aal+_xlpm.nom)/_xlpm.st, (-_xlpm.ttu+_xlpm.nom)/_xlpm.sp, _xlpm.rho) - BIVARIATE_NORMCDF((-_xlpm.aau+_xlpm.nom)/_xlpm.st, (-_xlpm.ttu+_xlpm.nom)/_xlpm.sp, _xlpm.rho), 0),         _xlpm.pfaleft+_xlpm.pfarght     ) )</definedName>
    <definedName name="PFA_SYMMETRIC" comment="Compute global PFA for symmetric tolerances (two-sided with nominal centered between the tolerances).">_xlfn.LAMBDA(_xlpm.t,_xlpm.a,_xlpm.sigt,_xlpm.sigp,     _xlfn.LET(_xlpm.sp, _xlpm.sigp,         _xlpm.st, SQRT(_xlpm.sigt^2 + _xlpm.sigp^2),         _xlpm.rho, SQRT(_xlpm.sigp^2 / (_xlpm.sigp^2+_xlpm.sigt^2)),         2*(BIVARIATE_NORMCDF(_xlpm.a/_xlpm.st, -_xlpm.t/_xlpm.sp, _xlpm.rho) - BIVARIATE_NORMCDF(-_xlpm.a/_xlpm.st, -_xlpm.t/_xlpm.sp, _xlpm.rho))     ) )</definedName>
    <definedName name="PFR" comment="Compute global probability of false reject tolerance, guardband, measurement uncertainty, and product standard deviation.">_xlfn.LAMBDA(_xlpm.tl,_xlpm.tu,_xlpm.al,_xlpm.au,_xlpm.nom,_xlpm.sigt,_xlpm.sigp,         IF(IS_SYMMETRIC(_xlpm.tl,_xlpm.tu,_xlpm.al,_xlpm.au,_xlpm.nom), PFR_SYMMETRIC((_xlpm.tu-_xlpm.tl)/2, (_xlpm.au-_xlpm.al)/2, _xlpm.sigt, _xlpm.sigp),         PFR_ASYMMETRIC(_xlpm.tl, _xlpm.tu, _xlpm.al, _xlpm.au, _xlpm.nom, _xlpm.sigt, _xlpm.sigp)         )     )</definedName>
    <definedName name="PFR_ASYMMETRIC" comment="Compute global PFR for asymmetric tolerances (nominal not centered, or one-sided limits).">_xlfn.LAMBDA(_xlpm.tl,_xlpm.tu,_xlpm.al,_xlpm.au,_xlpm.nom,_xlpm.sigt,_xlpm.sigp,     _xlfn.LET(_xlpm.sp, _xlpm.sigp,         _xlpm.st, SQRT(_xlpm.sigt^2 + _xlpm.sigp^2),         _xlpm.rho, SQRT(_xlpm.sigp^2 / (_xlpm.sigp^2+_xlpm.sigt^2)),         _xlpm.ttl, IF(ISNUMBER(_xlpm.tl), _xlpm.tl, -1E+99),         _xlpm.ttu, IF(ISNUMBER(_xlpm.tu), _xlpm.tu, 1E+99),         _xlpm.aal, IF(ISNUMBER(_xlpm.al), _xlpm.al, _xlpm.ttl),         _xlpm.aau, IF(ISNUMBER(_xlpm.au), _xlpm.au, _xlpm.ttu),         _xlpm.pfrbot, BIVARIATE_NORMCDF((_xlpm.aal-_xlpm.nom)/_xlpm.st, (_xlpm.ttu-_xlpm.nom)/_xlpm.sp, _xlpm.rho) - BIVARIATE_NORMCDF((_xlpm.aal-_xlpm.nom)/_xlpm.st, (_xlpm.ttl-_xlpm.nom)/_xlpm.sp, _xlpm.rho),         _xlpm.pfrtop, BIVARIATE_NORMCDF((-_xlpm.aau+_xlpm.nom)/_xlpm.st, (-_xlpm.ttl+_xlpm.nom)/_xlpm.sp, _xlpm.rho) - BIVARIATE_NORMCDF((-_xlpm.aau+_xlpm.nom)/_xlpm.st, (-_xlpm.ttu+_xlpm.nom)/_xlpm.sp, _xlpm.rho),     _xlpm.pfrtop+_xlpm.pfrbot     ) )</definedName>
    <definedName name="PFR_SYMMETRIC" comment="Compute global PFR for symmetric tolerances (two-sided with nominal centered between the tolerances).">_xlfn.LAMBDA(_xlpm.t,_xlpm.a,_xlpm.sigt,_xlpm.sigp,     _xlfn.LET(_xlpm.sp, _xlpm.sigp,         _xlpm.st, SQRT(_xlpm.sigt^2 + _xlpm.sigp^2),         _xlpm.rho, SQRT(_xlpm.sigp^2 / (_xlpm.sigp^2+_xlpm.sigt^2)),         2*(BIVARIATE_NORMCDF(-_xlpm.a/_xlpm.st, _xlpm.t/_xlpm.sp, _xlpm.rho) - BIVARIATE_NORMCDF(-_xlpm.a/_xlpm.st, -_xlpm.t/_xlpm.sp, _xlpm.rho))     ) )</definedName>
    <definedName name="RejectionConfidence" localSheetId="7">Intervals!$J$19</definedName>
    <definedName name="ReliabilityObs" localSheetId="7">Intervals!$J$15</definedName>
    <definedName name="ReliabilityTarget" localSheetId="7">Intervals!$J$8</definedName>
    <definedName name="SIGMA_FROM_ITP" comment="Returns the process standard deviation given the nominal value, tolerance limits, and in-tolerance probability.">_xlfn.LAMBDA(_xlpm.nom,_xlpm.tl,_xlpm.tu,_xlpm.itp,     _xlfn.IFS(AND(ISNUMBER(_xlpm.tl), ISNUMBER(_xlpm.tu)), _xlfn.LET(             _xlpm.center, (_xlpm.tl+_xlpm.tu)/2,             _xlpm.width, (_xlpm.tu-_xlpm.tl)/2,             _xlpm.bias, (_xlpm.nom-_xlpm.center)/_xlpm.width,             IF(ABS(_xlpm.bias)&lt;0.000000001, _xlpm.width/_xlfn.NORM.S.INV((1+_xlpm.itp)/2),                 _xlfn.LET(_xlpm.func, _xlfn.LAMBDA(_xlpm.sigma, _xlfn.NORM.DIST(1, _xlpm.bias, _xlpm.sigma, TRUE)-_xlfn.NORM.DIST(-1,_xlpm.bias,_xlpm.sigma,TRUE)),                     _xlpm.width*L_SOLVE_NR(_xlpm.func, 0.5, _xlpm.itp, 0.00001)                 )             )         ),         ISNUMBER(_xlpm.tl), IF(_xlpm.tl=_xlpm.nom, NA(), ABS(_xlpm.nom-_xlpm.tl)/_xlfn.NORM.S.INV(_xlpm.itp)),         ISNUMBER(_xlpm.tu), IF(_xlpm.tu=_xlpm.nom, NA(), ABS(_xlpm.tu-_xlpm.nom)/_xlfn.NORM.S.INV(_xlpm.itp))     ) )</definedName>
    <definedName name="TestInterval" localSheetId="7">Intervals!$J$6</definedName>
    <definedName name="TOL_DISPLAY_1" comment="First display value of formatted acceptance limit">_xlfn.LAMBDA(_xlpm.tl,_xlpm.tu,_xlpm.toltype,     _xlfn.IFS(_xlpm.toltype="±", (_xlpm.tl+_xlpm.tu)/2,         _xlpm.toltype="to", _xlpm.tl,         1, " "     ) )</definedName>
    <definedName name="TOL_DISPLAY_2" comment="Second displayed value of acceptance limit">_xlfn.LAMBDA(_xlpm.tl,_xlpm.tu,_xlpm.toltype, _xlfn.LET(_xlpm.center, (_xlpm.tl+_xlpm.tu)/2,     _xlpm.pm, ABS(_xlpm.tl-_xlpm.center),     _xlfn.IFS(_xlpm.toltype="±", _xlpm.pm,     _xlpm.toltype="to", _xlpm.tu,     _xlpm.toltype="max", _xlpm.tu,     _xlpm.toltype="min", _xlpm.tl ) ) )</definedName>
    <definedName name="TOL_LOWER_LIMIT" comment="Returns the lower limit of a tolerance cell set, or NA for maximum tolerances">_xlfn.LAMBDA(_xlpm.tola,_xlpm.toltype,_xlpm.tolb, _xlfn.IFS(_xlpm.toltype="±", _xlpm.tola-_xlpm.tolb, _xlpm.toltype="to", _xlpm.tola, _xlpm.toltype="min", MAX(_xlpm.tolb, _xlpm.tola)))</definedName>
    <definedName name="TOL_UPPER_LIMIT" comment="Returns the upper limit of a tolerance cell set, or NA for minimum tolerances">_xlfn.LAMBDA(_xlpm.tola,_xlpm.toltype,_xlpm.tolb, _xlfn.IFS(_xlpm.toltype="±", _xlpm.tola+_xlpm.tolb, _xlpm.toltype="to", _xlpm.tolb, _xlpm.toltype="max", MAX(_xlpm.tolb, _xlpm.tola)))</definedName>
    <definedName name="TUR" comment="Calculate test uncertainty ratio. For one-sided limits, the &quot;modified TUR&quot; [abs(limit-tolerance)/uncertainty] is calculated if the nominal is not equal the tolerance.">_xlfn.LAMBDA(_xlpm.tola,_xlpm.toltype,_xlpm.tolb,_xlpm.unc,_xlpm.nom,         _xlfn.LET(_xlpm.t, MAX(_xlpm.tola,_xlpm.tolb),             _xlfn.IFS(_xlpm.toltype="±", _xlpm.tolb/_xlpm.unc,             _xlpm.toltype="to", ABS(_xlpm.tolb-_xlpm.tola)/2/_xlpm.unc,             _xlpm.toltype="max", (_xlpm.t-_xlpm.nom)/_xlpm.unc,             _xlpm.toltype="min", (_xlpm.nom-_xlpm.t)/_xlpm.unc)         )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1" i="2" l="1" a="1"/>
  <c r="O11" i="2" s="1"/>
  <c r="M14" i="23" l="1"/>
  <c r="M13" i="23"/>
  <c r="M12" i="23"/>
  <c r="M7" i="23"/>
  <c r="P6" i="23" a="1"/>
  <c r="P6" i="23" s="1"/>
  <c r="Q6" i="23" a="1"/>
  <c r="Q6" i="23" s="1"/>
  <c r="O6" i="23" a="1"/>
  <c r="O6" i="23" s="1"/>
  <c r="L6" i="23" a="1"/>
  <c r="L6" i="23" s="1"/>
  <c r="L8" i="23" l="1" a="1"/>
  <c r="L8" i="23" s="1"/>
  <c r="L7" i="23" s="1"/>
  <c r="L9" i="23" l="1" a="1"/>
  <c r="L9" i="23" s="1"/>
  <c r="L11" i="23" s="1"/>
  <c r="L12" i="23" s="1"/>
  <c r="L13" i="23" s="1"/>
  <c r="R6" i="23" a="1"/>
  <c r="R6" i="23" s="1"/>
  <c r="L14" i="23" l="1"/>
  <c r="D40" i="7" l="1"/>
  <c r="C37" i="7" a="1"/>
  <c r="C37" i="7" s="1"/>
  <c r="K31" i="7" a="1"/>
  <c r="K31" i="7" s="1"/>
  <c r="K30" i="7" a="1"/>
  <c r="K30" i="7" s="1"/>
  <c r="K32" i="7" s="1" a="1"/>
  <c r="K32" i="7" s="1"/>
  <c r="K16" i="7" a="1"/>
  <c r="K16" i="7" s="1"/>
  <c r="C19" i="7" s="1"/>
  <c r="K15" i="7" a="1"/>
  <c r="K15" i="7" s="1"/>
  <c r="C20" i="7" s="1"/>
  <c r="C21" i="7" s="1"/>
  <c r="C22" i="7" s="1"/>
  <c r="D11" i="7"/>
  <c r="C9" i="7" a="1"/>
  <c r="C9" i="7" s="1"/>
  <c r="K3" i="7" a="1"/>
  <c r="K3" i="7" s="1"/>
  <c r="K2" i="7"/>
  <c r="K4" i="7" s="1" a="1"/>
  <c r="K4" i="7" s="1"/>
  <c r="C10" i="7" s="1" a="1"/>
  <c r="C10" i="7" s="1"/>
  <c r="K2" i="7" a="1"/>
  <c r="F35" i="9"/>
  <c r="E35" i="9"/>
  <c r="F34" i="9"/>
  <c r="E34" i="9"/>
  <c r="E33" i="9"/>
  <c r="E32" i="9"/>
  <c r="E31" i="9"/>
  <c r="F30" i="9"/>
  <c r="E30" i="9"/>
  <c r="E30" i="9" a="1"/>
  <c r="F29" i="9"/>
  <c r="E29" i="9"/>
  <c r="E29" i="9" a="1"/>
  <c r="F28" i="9"/>
  <c r="E28" i="9"/>
  <c r="C24" i="9"/>
  <c r="C23" i="9"/>
  <c r="L22" i="9"/>
  <c r="K22" i="9"/>
  <c r="J22" i="9"/>
  <c r="I22" i="9"/>
  <c r="H22" i="9"/>
  <c r="G22" i="9"/>
  <c r="F22" i="9"/>
  <c r="E22" i="9"/>
  <c r="D22" i="9"/>
  <c r="C22" i="9"/>
  <c r="L21" i="9"/>
  <c r="K21" i="9"/>
  <c r="J21" i="9"/>
  <c r="I21" i="9"/>
  <c r="H21" i="9"/>
  <c r="G21" i="9"/>
  <c r="F21" i="9"/>
  <c r="E21" i="9"/>
  <c r="D21" i="9"/>
  <c r="C21" i="9"/>
  <c r="L20" i="9"/>
  <c r="K20" i="9"/>
  <c r="J20" i="9"/>
  <c r="I20" i="9"/>
  <c r="H20" i="9"/>
  <c r="G20" i="9"/>
  <c r="F20" i="9"/>
  <c r="E20" i="9"/>
  <c r="D20" i="9"/>
  <c r="C20" i="9"/>
  <c r="L19" i="9"/>
  <c r="K19" i="9"/>
  <c r="J19" i="9"/>
  <c r="I19" i="9"/>
  <c r="H19" i="9"/>
  <c r="G19" i="9"/>
  <c r="F19" i="9"/>
  <c r="E19" i="9"/>
  <c r="D19" i="9"/>
  <c r="C19" i="9"/>
  <c r="O18" i="9"/>
  <c r="L18" i="9"/>
  <c r="K18" i="9"/>
  <c r="J18" i="9"/>
  <c r="I18" i="9"/>
  <c r="H18" i="9"/>
  <c r="G18" i="9"/>
  <c r="F18" i="9"/>
  <c r="E18" i="9"/>
  <c r="D18" i="9"/>
  <c r="C18" i="9"/>
  <c r="O17" i="9"/>
  <c r="O16" i="9"/>
  <c r="O11" i="9"/>
  <c r="O10" i="9"/>
  <c r="O9" i="9"/>
  <c r="P6" i="9"/>
  <c r="O6" i="9"/>
  <c r="P5" i="9"/>
  <c r="O5" i="9"/>
  <c r="O4" i="9"/>
  <c r="E17" i="19"/>
  <c r="E16" i="19"/>
  <c r="E15" i="19"/>
  <c r="E10" i="19"/>
  <c r="E9" i="19"/>
  <c r="E8" i="19"/>
  <c r="E7" i="19"/>
  <c r="E5" i="19"/>
  <c r="E4" i="19"/>
  <c r="K11" i="20"/>
  <c r="J11" i="20"/>
  <c r="K10" i="20"/>
  <c r="J10" i="20"/>
  <c r="K9" i="20"/>
  <c r="J9" i="20"/>
  <c r="K8" i="20"/>
  <c r="J8" i="20"/>
  <c r="G28" i="21"/>
  <c r="F28" i="21"/>
  <c r="E28" i="21"/>
  <c r="D28" i="21"/>
  <c r="G27" i="21"/>
  <c r="F27" i="21"/>
  <c r="E27" i="21"/>
  <c r="D27" i="21"/>
  <c r="G26" i="21"/>
  <c r="F26" i="21"/>
  <c r="E26" i="21"/>
  <c r="D26" i="21"/>
  <c r="G25" i="21"/>
  <c r="F25" i="21"/>
  <c r="E25" i="21"/>
  <c r="D25" i="21"/>
  <c r="G24" i="21"/>
  <c r="F24" i="21"/>
  <c r="E24" i="21"/>
  <c r="D24" i="21"/>
  <c r="G23" i="21"/>
  <c r="F23" i="21"/>
  <c r="E23" i="21"/>
  <c r="D23" i="21"/>
  <c r="G22" i="21"/>
  <c r="F22" i="21"/>
  <c r="E22" i="21"/>
  <c r="D22" i="21"/>
  <c r="G21" i="21"/>
  <c r="F21" i="21"/>
  <c r="E21" i="21"/>
  <c r="D21" i="21"/>
  <c r="G20" i="21"/>
  <c r="F20" i="21"/>
  <c r="E20" i="21"/>
  <c r="D20" i="21"/>
  <c r="G19" i="21"/>
  <c r="F19" i="21"/>
  <c r="E19" i="21"/>
  <c r="D19" i="21"/>
  <c r="G18" i="21"/>
  <c r="F18" i="21"/>
  <c r="E18" i="21"/>
  <c r="D18" i="21"/>
  <c r="G17" i="21"/>
  <c r="F17" i="21"/>
  <c r="E17" i="21"/>
  <c r="D17" i="21"/>
  <c r="G16" i="21"/>
  <c r="F16" i="21"/>
  <c r="E16" i="21"/>
  <c r="D16" i="21"/>
  <c r="G15" i="21"/>
  <c r="F15" i="21"/>
  <c r="E15" i="21"/>
  <c r="D15" i="21"/>
  <c r="G14" i="21"/>
  <c r="F14" i="21"/>
  <c r="E14" i="21"/>
  <c r="D14" i="21"/>
  <c r="G13" i="21"/>
  <c r="F13" i="21"/>
  <c r="E13" i="21"/>
  <c r="D13" i="21"/>
  <c r="G12" i="21"/>
  <c r="F12" i="21"/>
  <c r="E12" i="21"/>
  <c r="D12" i="21"/>
  <c r="J11" i="21"/>
  <c r="G11" i="21"/>
  <c r="F11" i="21"/>
  <c r="E11" i="21"/>
  <c r="D11" i="21"/>
  <c r="G10" i="21"/>
  <c r="F10" i="21"/>
  <c r="E10" i="21"/>
  <c r="D10" i="21"/>
  <c r="G9" i="21"/>
  <c r="F9" i="21"/>
  <c r="E9" i="21"/>
  <c r="D9" i="21"/>
  <c r="G8" i="21"/>
  <c r="F8" i="21"/>
  <c r="E8" i="21"/>
  <c r="D8" i="21"/>
  <c r="G7" i="21"/>
  <c r="F7" i="21"/>
  <c r="E7" i="21"/>
  <c r="D7" i="21"/>
  <c r="G6" i="21"/>
  <c r="F6" i="21"/>
  <c r="E6" i="21"/>
  <c r="D6" i="21"/>
  <c r="G5" i="21"/>
  <c r="F5" i="21"/>
  <c r="E5" i="21"/>
  <c r="D5" i="21"/>
  <c r="G4" i="21"/>
  <c r="F4" i="21"/>
  <c r="E4" i="21"/>
  <c r="D4" i="21"/>
  <c r="G3" i="21"/>
  <c r="F3" i="21"/>
  <c r="E3" i="21"/>
  <c r="D3" i="21"/>
  <c r="F22" i="22"/>
  <c r="J21" i="22"/>
  <c r="F21" i="22"/>
  <c r="F20" i="22"/>
  <c r="J19" i="22"/>
  <c r="F19" i="22"/>
  <c r="J18" i="22"/>
  <c r="F18" i="22"/>
  <c r="J17" i="22"/>
  <c r="F17" i="22"/>
  <c r="F16" i="22"/>
  <c r="J15" i="22"/>
  <c r="F15" i="22"/>
  <c r="J14" i="22"/>
  <c r="J14" i="22" a="1"/>
  <c r="F14" i="22"/>
  <c r="J13" i="22"/>
  <c r="J13" i="22" a="1"/>
  <c r="F13" i="22"/>
  <c r="F12" i="22"/>
  <c r="F11" i="22"/>
  <c r="F10" i="22"/>
  <c r="F9" i="22"/>
  <c r="F8" i="22"/>
  <c r="F7" i="22"/>
  <c r="F6" i="22"/>
  <c r="L15" i="17"/>
  <c r="L14" i="17"/>
  <c r="L13" i="17"/>
  <c r="L12" i="17"/>
  <c r="L11" i="17"/>
  <c r="L10" i="17"/>
  <c r="L9" i="17"/>
  <c r="L8" i="17"/>
  <c r="L7" i="17"/>
  <c r="L6" i="17"/>
  <c r="L5" i="17"/>
  <c r="L4" i="17"/>
  <c r="L3" i="17"/>
  <c r="AI16" i="2" a="1"/>
  <c r="AI16" i="2" s="1"/>
  <c r="AH16" i="2" a="1"/>
  <c r="AH16" i="2" s="1"/>
  <c r="X16" i="2"/>
  <c r="O16" i="2" a="1"/>
  <c r="O16" i="2" s="1"/>
  <c r="M16" i="2"/>
  <c r="AI15" i="2" a="1"/>
  <c r="AI15" i="2" s="1"/>
  <c r="AH15" i="2" a="1"/>
  <c r="AH15" i="2" s="1"/>
  <c r="X15" i="2"/>
  <c r="O15" i="2" a="1"/>
  <c r="O15" i="2" s="1"/>
  <c r="M15" i="2"/>
  <c r="AI14" i="2" a="1"/>
  <c r="AI14" i="2" s="1"/>
  <c r="AH14" i="2" a="1"/>
  <c r="AH14" i="2" s="1"/>
  <c r="X14" i="2"/>
  <c r="O14" i="2" a="1"/>
  <c r="O14" i="2" s="1"/>
  <c r="M14" i="2"/>
  <c r="AI13" i="2" a="1"/>
  <c r="AI13" i="2" s="1"/>
  <c r="AH13" i="2" a="1"/>
  <c r="AH13" i="2" s="1"/>
  <c r="X13" i="2"/>
  <c r="O13" i="2" a="1"/>
  <c r="O13" i="2" s="1"/>
  <c r="M13" i="2"/>
  <c r="AI12" i="2" a="1"/>
  <c r="AI12" i="2" s="1"/>
  <c r="AH12" i="2" a="1"/>
  <c r="AH12" i="2" s="1"/>
  <c r="X12" i="2"/>
  <c r="O12" i="2" a="1"/>
  <c r="O12" i="2" s="1"/>
  <c r="AI11" i="2" a="1"/>
  <c r="AI11" i="2" s="1"/>
  <c r="AH11" i="2" a="1"/>
  <c r="AH11" i="2" s="1"/>
  <c r="X11" i="2"/>
  <c r="AI10" i="2" a="1"/>
  <c r="AI10" i="2" s="1"/>
  <c r="AH10" i="2" a="1"/>
  <c r="AH10" i="2" s="1"/>
  <c r="X10" i="2"/>
  <c r="O10" i="2" a="1"/>
  <c r="O10" i="2" s="1"/>
  <c r="N10" i="2" a="1"/>
  <c r="N10" i="2" s="1"/>
  <c r="R10" i="2" s="1" a="1"/>
  <c r="R10" i="2" s="1"/>
  <c r="AC15" i="15"/>
  <c r="AC15" i="15" a="1"/>
  <c r="AB15" i="15"/>
  <c r="AB15" i="15" a="1"/>
  <c r="U15" i="15"/>
  <c r="N15" i="15" a="1"/>
  <c r="N15" i="15" s="1"/>
  <c r="M15" i="15" a="1"/>
  <c r="M15" i="15" s="1"/>
  <c r="Q15" i="15" s="1" a="1"/>
  <c r="Q15" i="15" s="1"/>
  <c r="S15" i="15" s="1" a="1"/>
  <c r="S15" i="15" s="1"/>
  <c r="AD15" i="15" s="1" a="1"/>
  <c r="AD15" i="15" s="1"/>
  <c r="AE15" i="15" s="1" a="1"/>
  <c r="AE15" i="15" s="1"/>
  <c r="AC14" i="15" a="1"/>
  <c r="AC14" i="15" s="1"/>
  <c r="AB14" i="15" a="1"/>
  <c r="AB14" i="15" s="1"/>
  <c r="U14" i="15"/>
  <c r="N14" i="15"/>
  <c r="N14" i="15" a="1"/>
  <c r="M14" i="15" a="1"/>
  <c r="M14" i="15" s="1"/>
  <c r="Q14" i="15" s="1" a="1"/>
  <c r="Q14" i="15" s="1"/>
  <c r="S14" i="15" s="1" a="1"/>
  <c r="S14" i="15" s="1"/>
  <c r="AD14" i="15" s="1" a="1"/>
  <c r="AD14" i="15" s="1"/>
  <c r="AE14" i="15" s="1" a="1"/>
  <c r="AE14" i="15" s="1"/>
  <c r="AC13" i="15" a="1"/>
  <c r="AC13" i="15" s="1"/>
  <c r="AB13" i="15" a="1"/>
  <c r="AB13" i="15" s="1"/>
  <c r="U13" i="15"/>
  <c r="N13" i="15" a="1"/>
  <c r="N13" i="15" s="1"/>
  <c r="M13" i="15" a="1"/>
  <c r="M13" i="15" s="1"/>
  <c r="Q13" i="15" s="1" a="1"/>
  <c r="Q13" i="15" s="1"/>
  <c r="S13" i="15" s="1" a="1"/>
  <c r="S13" i="15" s="1"/>
  <c r="AD13" i="15" s="1" a="1"/>
  <c r="AD13" i="15" s="1"/>
  <c r="AC12" i="15"/>
  <c r="AC12" i="15" a="1"/>
  <c r="AB12" i="15"/>
  <c r="AB12" i="15" a="1"/>
  <c r="U12" i="15"/>
  <c r="N12" i="15" a="1"/>
  <c r="N12" i="15" s="1"/>
  <c r="M12" i="15" a="1"/>
  <c r="M12" i="15" s="1"/>
  <c r="Q12" i="15" s="1" a="1"/>
  <c r="Q12" i="15" s="1"/>
  <c r="S12" i="15" s="1" a="1"/>
  <c r="S12" i="15" s="1"/>
  <c r="AD12" i="15" s="1" a="1"/>
  <c r="AD12" i="15" s="1"/>
  <c r="AE12" i="15" s="1" a="1"/>
  <c r="AE12" i="15" s="1"/>
  <c r="AC11" i="15"/>
  <c r="AC11" i="15" a="1"/>
  <c r="AB11" i="15"/>
  <c r="AB11" i="15" a="1"/>
  <c r="U11" i="15"/>
  <c r="N11" i="15" a="1"/>
  <c r="N11" i="15" s="1"/>
  <c r="M11" i="15" a="1"/>
  <c r="M11" i="15" s="1"/>
  <c r="Q11" i="15" s="1" a="1"/>
  <c r="Q11" i="15" s="1"/>
  <c r="S11" i="15" s="1" a="1"/>
  <c r="S11" i="15" s="1"/>
  <c r="AD11" i="15" s="1" a="1"/>
  <c r="AD11" i="15" s="1"/>
  <c r="AE11" i="15" s="1" a="1"/>
  <c r="AE11" i="15" s="1"/>
  <c r="AC10" i="15" a="1"/>
  <c r="AC10" i="15" s="1"/>
  <c r="AB10" i="15" a="1"/>
  <c r="AB10" i="15" s="1"/>
  <c r="U10" i="15"/>
  <c r="N10" i="15"/>
  <c r="N10" i="15" a="1"/>
  <c r="M10" i="15" a="1"/>
  <c r="M10" i="15" s="1"/>
  <c r="Q10" i="15" s="1" a="1"/>
  <c r="Q10" i="15" s="1"/>
  <c r="S10" i="15" s="1" a="1"/>
  <c r="S10" i="15" s="1"/>
  <c r="AD10" i="15" s="1" a="1"/>
  <c r="AD10" i="15" s="1"/>
  <c r="AE10" i="15" s="1" a="1"/>
  <c r="AE10" i="15" s="1"/>
  <c r="C39" i="7" l="1" a="1"/>
  <c r="C39" i="7" s="1"/>
  <c r="AE13" i="15" a="1"/>
  <c r="AE13" i="15" s="1"/>
  <c r="AG13" i="15" s="1"/>
  <c r="K35" i="7" a="1"/>
  <c r="K35" i="7" s="1"/>
  <c r="K36" i="7" s="1"/>
  <c r="C38" i="7" a="1"/>
  <c r="C38" i="7" s="1"/>
  <c r="K5" i="7" a="1"/>
  <c r="K5" i="7" s="1"/>
  <c r="K7" i="7" s="1"/>
  <c r="AJ11" i="2" a="1"/>
  <c r="AJ11" i="2" s="1"/>
  <c r="AJ14" i="2" a="1"/>
  <c r="AJ14" i="2" s="1"/>
  <c r="AJ13" i="2" a="1"/>
  <c r="AJ13" i="2" s="1"/>
  <c r="AJ12" i="2" a="1"/>
  <c r="AJ12" i="2" s="1"/>
  <c r="AJ10" i="2" a="1"/>
  <c r="AJ10" i="2" s="1"/>
  <c r="N16" i="2" s="1" a="1"/>
  <c r="N16" i="2" s="1"/>
  <c r="R16" i="2" s="1" a="1"/>
  <c r="R16" i="2" s="1"/>
  <c r="N13" i="2" a="1"/>
  <c r="N13" i="2" s="1"/>
  <c r="R13" i="2" s="1" a="1"/>
  <c r="R13" i="2" s="1"/>
  <c r="AJ15" i="2" a="1"/>
  <c r="AJ15" i="2" s="1"/>
  <c r="AJ16" i="2" a="1"/>
  <c r="AJ16" i="2" s="1"/>
  <c r="T10" i="2" a="1"/>
  <c r="T10" i="2" s="1"/>
  <c r="AF10" i="15"/>
  <c r="AG10" i="15"/>
  <c r="AG15" i="15"/>
  <c r="AF15" i="15"/>
  <c r="AG11" i="15"/>
  <c r="AF11" i="15"/>
  <c r="AF12" i="15"/>
  <c r="AG12" i="15"/>
  <c r="AG14" i="15"/>
  <c r="AF14" i="15"/>
  <c r="AF13" i="15" l="1"/>
  <c r="N14" i="2" a="1"/>
  <c r="N14" i="2" s="1"/>
  <c r="R14" i="2" s="1" a="1"/>
  <c r="R14" i="2" s="1"/>
  <c r="U14" i="2" s="1" a="1"/>
  <c r="U14" i="2" s="1"/>
  <c r="N12" i="2" a="1"/>
  <c r="N12" i="2" s="1"/>
  <c r="R12" i="2" s="1" a="1"/>
  <c r="R12" i="2" s="1"/>
  <c r="U12" i="2" s="1" a="1"/>
  <c r="U12" i="2" s="1"/>
  <c r="N15" i="2" a="1"/>
  <c r="N15" i="2" s="1"/>
  <c r="R15" i="2" s="1" a="1"/>
  <c r="R15" i="2" s="1"/>
  <c r="U15" i="2" s="1" a="1"/>
  <c r="U15" i="2" s="1"/>
  <c r="U10" i="2" a="1"/>
  <c r="U10" i="2" s="1"/>
  <c r="AK10" i="2" s="1" a="1"/>
  <c r="AK10" i="2" s="1"/>
  <c r="AL10" i="2" s="1" a="1"/>
  <c r="AL10" i="2" s="1"/>
  <c r="N11" i="2" a="1"/>
  <c r="N11" i="2" s="1"/>
  <c r="R11" i="2" s="1" a="1"/>
  <c r="R11" i="2" s="1"/>
  <c r="T11" i="2" s="1" a="1"/>
  <c r="T11" i="2" s="1"/>
  <c r="K37" i="7"/>
  <c r="C41" i="7" s="1" a="1"/>
  <c r="C41" i="7" s="1"/>
  <c r="T10" i="15" a="1"/>
  <c r="T10" i="15" s="1"/>
  <c r="K6" i="7"/>
  <c r="C12" i="7" s="1" a="1"/>
  <c r="C12" i="7" s="1"/>
  <c r="T13" i="2" a="1"/>
  <c r="T13" i="2" s="1"/>
  <c r="T16" i="2" a="1"/>
  <c r="T16" i="2" s="1"/>
  <c r="U13" i="2" a="1"/>
  <c r="U13" i="2" s="1"/>
  <c r="U16" i="2" a="1"/>
  <c r="U16" i="2" s="1"/>
  <c r="V10" i="15" a="1"/>
  <c r="V10" i="15" s="1"/>
  <c r="V14" i="15" a="1"/>
  <c r="V14" i="15" s="1"/>
  <c r="T14" i="15" a="1"/>
  <c r="T14" i="15" s="1"/>
  <c r="V11" i="15" a="1"/>
  <c r="V11" i="15" s="1"/>
  <c r="T11" i="15" a="1"/>
  <c r="T11" i="15" s="1"/>
  <c r="V12" i="15" a="1"/>
  <c r="V12" i="15" s="1"/>
  <c r="T12" i="15" a="1"/>
  <c r="T12" i="15" s="1"/>
  <c r="V13" i="15" a="1"/>
  <c r="V13" i="15" s="1"/>
  <c r="T13" i="15" a="1"/>
  <c r="T13" i="15" s="1"/>
  <c r="T15" i="15" a="1"/>
  <c r="T15" i="15" s="1"/>
  <c r="V15" i="15" a="1"/>
  <c r="V15" i="15" s="1"/>
  <c r="C40" i="7" l="1" a="1"/>
  <c r="C40" i="7" s="1"/>
  <c r="C11" i="7" a="1"/>
  <c r="C11" i="7" s="1"/>
  <c r="E11" i="7" a="1"/>
  <c r="E11" i="7" s="1"/>
  <c r="T14" i="2" a="1"/>
  <c r="T14" i="2" s="1"/>
  <c r="AK14" i="2" s="1" a="1"/>
  <c r="AK14" i="2" s="1"/>
  <c r="AL14" i="2" s="1" a="1"/>
  <c r="AL14" i="2" s="1"/>
  <c r="AK16" i="2" a="1"/>
  <c r="AK16" i="2" s="1"/>
  <c r="AL16" i="2" s="1" a="1"/>
  <c r="AL16" i="2" s="1"/>
  <c r="T12" i="2" a="1"/>
  <c r="T12" i="2" s="1"/>
  <c r="AK12" i="2" s="1" a="1"/>
  <c r="AK12" i="2" s="1"/>
  <c r="H37" i="7"/>
  <c r="H39" i="7" s="1"/>
  <c r="C42" i="7" a="1"/>
  <c r="C42" i="7" s="1"/>
  <c r="H38" i="7" s="1"/>
  <c r="H40" i="7" s="1"/>
  <c r="E40" i="7" a="1"/>
  <c r="E40" i="7" s="1"/>
  <c r="U11" i="2" a="1"/>
  <c r="U11" i="2" s="1"/>
  <c r="AK11" i="2" s="1" a="1"/>
  <c r="AK11" i="2" s="1"/>
  <c r="T15" i="2" a="1"/>
  <c r="T15" i="2" s="1"/>
  <c r="AK15" i="2" s="1" a="1"/>
  <c r="AK15" i="2" s="1"/>
  <c r="AL15" i="2" s="1" a="1"/>
  <c r="AL15" i="2" s="1"/>
  <c r="AK13" i="2" a="1"/>
  <c r="AK13" i="2" s="1"/>
  <c r="AL12" i="2" l="1" a="1"/>
  <c r="AL12" i="2" s="1"/>
  <c r="AN12" i="2" s="1"/>
  <c r="AA13" i="2" a="1"/>
  <c r="AA13" i="2" s="1"/>
  <c r="AL13" i="2" a="1"/>
  <c r="AL13" i="2" s="1"/>
  <c r="AN13" i="2" s="1"/>
  <c r="AL11" i="2" a="1"/>
  <c r="AL11" i="2" s="1"/>
  <c r="AM11" i="2" s="1"/>
  <c r="AA16" i="2" a="1"/>
  <c r="AA16" i="2" s="1"/>
  <c r="H41" i="7"/>
  <c r="AA15" i="2" a="1"/>
  <c r="AA15" i="2" s="1"/>
  <c r="AA12" i="2" a="1"/>
  <c r="AA12" i="2" s="1"/>
  <c r="AM12" i="2"/>
  <c r="AN16" i="2"/>
  <c r="AM16" i="2"/>
  <c r="AM15" i="2"/>
  <c r="AN15" i="2"/>
  <c r="AN14" i="2"/>
  <c r="AM14" i="2"/>
  <c r="AB11" i="2" l="1" a="1"/>
  <c r="AB11" i="2" s="1"/>
  <c r="AN11" i="2"/>
  <c r="AA11" i="2" s="1" a="1"/>
  <c r="AA11" i="2" s="1"/>
  <c r="AB12" i="2" a="1"/>
  <c r="AB12" i="2" s="1"/>
  <c r="AM13" i="2"/>
  <c r="AB13" i="2" s="1" a="1"/>
  <c r="AB13" i="2" s="1"/>
  <c r="W12" i="2" a="1"/>
  <c r="W12" i="2" s="1"/>
  <c r="Y12" i="2" a="1"/>
  <c r="Y12" i="2" s="1"/>
  <c r="AA14" i="2" a="1"/>
  <c r="AA14" i="2" s="1"/>
  <c r="AB14" i="2" a="1"/>
  <c r="AB14" i="2" s="1"/>
  <c r="AB15" i="2" a="1"/>
  <c r="AB15" i="2" s="1"/>
  <c r="Y11" i="2" a="1"/>
  <c r="Y11" i="2" s="1"/>
  <c r="W11" i="2" a="1"/>
  <c r="W11" i="2" s="1"/>
  <c r="AB16" i="2" a="1"/>
  <c r="AB16" i="2" s="1"/>
  <c r="Y16" i="2" a="1"/>
  <c r="Y16" i="2" s="1"/>
  <c r="W16" i="2" a="1"/>
  <c r="W16" i="2" s="1"/>
  <c r="Y15" i="2" a="1"/>
  <c r="Y15" i="2" s="1"/>
  <c r="W15" i="2" a="1"/>
  <c r="W15" i="2" s="1"/>
  <c r="W14" i="2" a="1"/>
  <c r="W14" i="2" s="1"/>
  <c r="Y14" i="2" a="1"/>
  <c r="Y14" i="2" s="1"/>
  <c r="W13" i="2" l="1" a="1"/>
  <c r="W13" i="2" s="1"/>
  <c r="Y13" i="2" a="1"/>
  <c r="Y13" i="2" s="1"/>
  <c r="AM10" i="2"/>
  <c r="AN10" i="2"/>
  <c r="W10" i="2" l="1" a="1"/>
  <c r="W10" i="2" s="1"/>
  <c r="AA10" i="2" a="1"/>
  <c r="AA10" i="2" s="1"/>
  <c r="Y10" i="2" a="1"/>
  <c r="Y10" i="2" s="1"/>
  <c r="AB10" i="2" a="1"/>
  <c r="AB1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<sst xmlns="http://schemas.openxmlformats.org/spreadsheetml/2006/main" count="777" uniqueCount="502">
  <si>
    <t>Tolerance Types</t>
  </si>
  <si>
    <t>±</t>
  </si>
  <si>
    <t>to</t>
  </si>
  <si>
    <t>max</t>
  </si>
  <si>
    <t>min</t>
  </si>
  <si>
    <t>Guardband Methods</t>
  </si>
  <si>
    <t>PFA</t>
  </si>
  <si>
    <t>Level</t>
  </si>
  <si>
    <t>MaxPfa</t>
  </si>
  <si>
    <t>MinTur</t>
  </si>
  <si>
    <t>Quantity Measured</t>
  </si>
  <si>
    <t>Requirement Number</t>
  </si>
  <si>
    <t>Tolerance</t>
  </si>
  <si>
    <t>Expected Value</t>
  </si>
  <si>
    <t>Criticality
Level</t>
  </si>
  <si>
    <t>Units</t>
  </si>
  <si>
    <t>TUR</t>
  </si>
  <si>
    <t>Guardband Method</t>
  </si>
  <si>
    <t>Acceptance Limits</t>
  </si>
  <si>
    <t>Comments</t>
  </si>
  <si>
    <t>Process Stdev</t>
  </si>
  <si>
    <t>Lower Tolerance</t>
  </si>
  <si>
    <t>Upper Tolerance</t>
  </si>
  <si>
    <t>Lower Acceptance Limit</t>
  </si>
  <si>
    <t>Upper Acceptance Limit</t>
  </si>
  <si>
    <t>cm</t>
  </si>
  <si>
    <t>m</t>
  </si>
  <si>
    <t>Pool Length</t>
  </si>
  <si>
    <t>FR 2.1.2.1</t>
  </si>
  <si>
    <t>Total Station</t>
  </si>
  <si>
    <t>Voltage</t>
  </si>
  <si>
    <t>N/A</t>
  </si>
  <si>
    <t>Balance</t>
  </si>
  <si>
    <t>g</t>
  </si>
  <si>
    <t>Football Pressure</t>
  </si>
  <si>
    <t>psig</t>
  </si>
  <si>
    <t>Wilson</t>
  </si>
  <si>
    <t>Product #:</t>
  </si>
  <si>
    <t>Organization:</t>
  </si>
  <si>
    <t>Preparer Name:</t>
  </si>
  <si>
    <t>Date:</t>
  </si>
  <si>
    <t>Sandia Primary Standards Lab - Smart Measurement Assurance Plan</t>
  </si>
  <si>
    <t>uncertainty@sandia.gov</t>
  </si>
  <si>
    <t>RDS</t>
  </si>
  <si>
    <t>The nominal or expected value being measured, as a numeric value (do not include units or non-numeric text here).</t>
  </si>
  <si>
    <t>Enter the product requirement tolerance being tested. Tolerance has 3 spreadsheet columns. The center column provides a dropdown to select the tolerance type. Use "±" or "to" for two-sided tolerances, and "&gt;" or "&lt;" for one-sided tolerances.</t>
  </si>
  <si>
    <t>Enter measurement units here for recordkeeping. Units conversion is not currently done, but there is a check to ensure the Equipment units match the Tolerance units.</t>
  </si>
  <si>
    <t>Enter the units of measure for the equipment. No units conversion is currently done, but the equipment units will be checked against the Tolerance units.</t>
  </si>
  <si>
    <t>(MAP-PFA Tab): Select between Root-Difference-Square guardbanding and PFA guardbanding. RDS guardbanding calculates the guardband factor as (SQRT(1 - 1/TUR^2)). PFA guardbanding iteratively solves for the guardband that acheives the target PFA defined by the Criticality Level table</t>
  </si>
  <si>
    <t xml:space="preserve"> Enter any additional notes about the measurement, such as limitations, reasoning for not calibrating, etc.</t>
  </si>
  <si>
    <t>Limits at which to accept the product, with any guardbanding applied.</t>
  </si>
  <si>
    <t>The Global PFA with guardbanding applied</t>
  </si>
  <si>
    <t>This tab provides a Measurement Assurance Plan (MAP) that calculates Test Uncertainty Ratio and guardbands for each testpoint.</t>
  </si>
  <si>
    <t xml:space="preserve"> Use this tab to calculate Global (Average) Probability of False Accept (PFA) and guardbands that target a desired PFA.</t>
  </si>
  <si>
    <t>Spreadsheet Tabs</t>
  </si>
  <si>
    <t>MAP-TUR</t>
  </si>
  <si>
    <t>MAP-PFA</t>
  </si>
  <si>
    <t>Criticality Levels</t>
  </si>
  <si>
    <t>Criticality Level</t>
  </si>
  <si>
    <t>Equipment Units</t>
  </si>
  <si>
    <t>PFA (No Guardband)</t>
  </si>
  <si>
    <t>The property of interest being measured on the device under test. Some examples include voltage, current, mass, humidity, length, neutron flux, pressure, pulse time, shock, strain, temperature, torque, vibration, etc.</t>
  </si>
  <si>
    <t>Provides traceability to product requirements being tested</t>
  </si>
  <si>
    <t>Used to determine guardbanding policy for the item in terms of a minimum TUR or target PFA. See the Criticality Levels tab for definitions.</t>
  </si>
  <si>
    <t>Test Unceratinty Ratio. For two-sided limits, this is the tolerance divided by the equipment uncertainty. For single-sided limits, an "effective TUR" is calculated as |Nominal - Tolerance| / Uncertainty.</t>
  </si>
  <si>
    <t>The Global Probability of False Accept with no guardbanding applied.</t>
  </si>
  <si>
    <t>About</t>
  </si>
  <si>
    <t>In-Tolerance Probability</t>
  </si>
  <si>
    <t>Nominal/Expected Value</t>
  </si>
  <si>
    <t>PFA(Guardbanded)</t>
  </si>
  <si>
    <t>Acceptance Limit</t>
  </si>
  <si>
    <t>Global (Average) Risk Calculator</t>
  </si>
  <si>
    <t>Specific Risk Calculator</t>
  </si>
  <si>
    <t>Measured Value</t>
  </si>
  <si>
    <t>Specific Risk</t>
  </si>
  <si>
    <t>Specific Risk, Upper Limit</t>
  </si>
  <si>
    <t>Specific Risk, Lower Limit</t>
  </si>
  <si>
    <t>Probability of Conformance</t>
  </si>
  <si>
    <t>Risk Calculator</t>
  </si>
  <si>
    <t>Lookup</t>
  </si>
  <si>
    <t>This tab is used to define Criticality Levels that determine the guardbanding policy, TUR thresholds, and PFA targets.</t>
  </si>
  <si>
    <t>Measurement Uncertainty (k=2) ±</t>
  </si>
  <si>
    <t>ITP</t>
  </si>
  <si>
    <t>Variable</t>
  </si>
  <si>
    <t>Value</t>
  </si>
  <si>
    <t>D</t>
  </si>
  <si>
    <t>T</t>
  </si>
  <si>
    <t>Rs</t>
  </si>
  <si>
    <t>p</t>
  </si>
  <si>
    <t>-</t>
  </si>
  <si>
    <t>Uncertainty</t>
  </si>
  <si>
    <t>K</t>
  </si>
  <si>
    <t>psi</t>
  </si>
  <si>
    <t>Δ</t>
  </si>
  <si>
    <t>J/K/kg</t>
  </si>
  <si>
    <t>Standard Uncertainty</t>
  </si>
  <si>
    <t>k =</t>
  </si>
  <si>
    <t>m/s</t>
  </si>
  <si>
    <t>Combined Standard Uncertainty</t>
  </si>
  <si>
    <t>Effective Degrees of Freedom</t>
  </si>
  <si>
    <t>Level of Confidence</t>
  </si>
  <si>
    <t>Coverage Factor (k)</t>
  </si>
  <si>
    <t>Expanded Uncertainty</t>
  </si>
  <si>
    <t>Uncertainty Range, Low</t>
  </si>
  <si>
    <t>Uncertainty Range, High</t>
  </si>
  <si>
    <t>Results</t>
  </si>
  <si>
    <t>Measurand Value</t>
  </si>
  <si>
    <t>Tip: Use k=1.73 for uniform distributions</t>
  </si>
  <si>
    <t>Sensitivity</t>
  </si>
  <si>
    <t>Proportion</t>
  </si>
  <si>
    <t>Lower Limit</t>
  </si>
  <si>
    <t>Upper Limit</t>
  </si>
  <si>
    <t>Standard Error of the Mean</t>
  </si>
  <si>
    <t>Degrees Freedom</t>
  </si>
  <si>
    <t>Standard Deviation</t>
  </si>
  <si>
    <t>Mean</t>
  </si>
  <si>
    <t>Run ↴ \ Group →</t>
  </si>
  <si>
    <t>A</t>
  </si>
  <si>
    <t>B</t>
  </si>
  <si>
    <t>C</t>
  </si>
  <si>
    <t>E</t>
  </si>
  <si>
    <t>F</t>
  </si>
  <si>
    <t>G</t>
  </si>
  <si>
    <t>H</t>
  </si>
  <si>
    <t>I</t>
  </si>
  <si>
    <t>J</t>
  </si>
  <si>
    <t>Group Averages Vj:</t>
  </si>
  <si>
    <t>Group Variances s^2(Vjk):</t>
  </si>
  <si>
    <t>Group Std. Devs s(Vjk):</t>
  </si>
  <si>
    <t># Measurements nj:</t>
  </si>
  <si>
    <t># Groups J:</t>
  </si>
  <si>
    <t>Total Measurements:</t>
  </si>
  <si>
    <t>Deg. Freedom</t>
  </si>
  <si>
    <t>Grand Mean</t>
  </si>
  <si>
    <t>Variance of Means s^2(Vj)</t>
  </si>
  <si>
    <t>sa^2</t>
  </si>
  <si>
    <t>sb^2</t>
  </si>
  <si>
    <t>F critical</t>
  </si>
  <si>
    <t>Between-Group Effect?</t>
  </si>
  <si>
    <t>Uncertainty if no between-group effect</t>
  </si>
  <si>
    <t>Uncertainty if between-group effect</t>
  </si>
  <si>
    <t>Reproducibility. Enter R&amp;R measurements in table below.</t>
  </si>
  <si>
    <t>← Repeatability. Enter Repeat Measurements in Column B</t>
  </si>
  <si>
    <t>Reproducibility</t>
  </si>
  <si>
    <t>ANOVA</t>
  </si>
  <si>
    <t>MAP Input Columns</t>
  </si>
  <si>
    <t>MAP Calculated Columns</t>
  </si>
  <si>
    <t>Number of new repeat measurements</t>
  </si>
  <si>
    <t>Uncertainty in determining this mean value</t>
  </si>
  <si>
    <t>Applied to uncertainty of NEW measurements</t>
  </si>
  <si>
    <t>Deg. F.</t>
  </si>
  <si>
    <t>Repeatability Std. Dev.</t>
  </si>
  <si>
    <t>Reproducibility Std. Dev.</t>
  </si>
  <si>
    <t>Uncertainty in this mean value</t>
  </si>
  <si>
    <t>Repeatability Variance</t>
  </si>
  <si>
    <t>Between Group Variance</t>
  </si>
  <si>
    <t>F-test Confidence</t>
  </si>
  <si>
    <t>Combined Uncertainty</t>
  </si>
  <si>
    <t>GUM Uncertainty</t>
  </si>
  <si>
    <t>PFA Required</t>
  </si>
  <si>
    <t>Cost of False Accept</t>
  </si>
  <si>
    <t>Cost of False Reject</t>
  </si>
  <si>
    <t>Cost of Falsely Accepted Items</t>
  </si>
  <si>
    <t>Number of Falsely Accepted Items</t>
  </si>
  <si>
    <t>Number of Falsely Rejected Items</t>
  </si>
  <si>
    <t>Cost of Falsely Rejected Items</t>
  </si>
  <si>
    <t>PFR (Guardbanded)</t>
  </si>
  <si>
    <t>PFA (Guardbanded)</t>
  </si>
  <si>
    <t>Total cost of false decisions</t>
  </si>
  <si>
    <t>PFR (No Guardband)</t>
  </si>
  <si>
    <t>Cost Results</t>
  </si>
  <si>
    <t>Cost Model</t>
  </si>
  <si>
    <t>Risk Results</t>
  </si>
  <si>
    <t>Number of units produced</t>
  </si>
  <si>
    <t>Examples</t>
  </si>
  <si>
    <t>Sandia National Laboratories is a multimission laboratory managed and operated by National Technology &amp; Engineering Solutions of Sandia, LLC, a wholly owned subsidiary of Honeywell International Inc., for the U.S. Department of Energy’s National Nuclear Security Administration under contract DE-NA0003525.</t>
  </si>
  <si>
    <t>…</t>
  </si>
  <si>
    <t>….</t>
  </si>
  <si>
    <t>TolType</t>
  </si>
  <si>
    <t>ToleranceB</t>
  </si>
  <si>
    <t>MeasUnits</t>
  </si>
  <si>
    <t>AcceptB</t>
  </si>
  <si>
    <t>AcceptType</t>
  </si>
  <si>
    <t>Criticality</t>
  </si>
  <si>
    <t>Requirement</t>
  </si>
  <si>
    <t>Name</t>
  </si>
  <si>
    <t>Expected</t>
  </si>
  <si>
    <t>Equipment</t>
  </si>
  <si>
    <t>Tolerance Limits</t>
  </si>
  <si>
    <t>Guardband Width</t>
  </si>
  <si>
    <t>Lower Acceptance</t>
  </si>
  <si>
    <t>Upper Acceptance</t>
  </si>
  <si>
    <t>Accept1</t>
  </si>
  <si>
    <t>Accept2</t>
  </si>
  <si>
    <t>TU</t>
  </si>
  <si>
    <t>TL</t>
  </si>
  <si>
    <t>GBW</t>
  </si>
  <si>
    <t>AL</t>
  </si>
  <si>
    <t>AU</t>
  </si>
  <si>
    <t>Accept3</t>
  </si>
  <si>
    <t>Calibrate?</t>
  </si>
  <si>
    <t>Y</t>
  </si>
  <si>
    <t>← Intermediate guardband calculations in hidden columns here.</t>
  </si>
  <si>
    <t>Quantity</t>
  </si>
  <si>
    <t>TolA</t>
  </si>
  <si>
    <t>TolB</t>
  </si>
  <si>
    <t>Gbmethod</t>
  </si>
  <si>
    <t>AcceptA</t>
  </si>
  <si>
    <t>PFAgb</t>
  </si>
  <si>
    <t>stdev</t>
  </si>
  <si>
    <t>Guardband?</t>
  </si>
  <si>
    <t>Guardband</t>
  </si>
  <si>
    <t>Guardband Needed?</t>
  </si>
  <si>
    <t>Calibrate</t>
  </si>
  <si>
    <t>One-sided Length</t>
  </si>
  <si>
    <t>Initial Release</t>
  </si>
  <si>
    <t>Version</t>
  </si>
  <si>
    <t>Changes</t>
  </si>
  <si>
    <t>Date</t>
  </si>
  <si>
    <t>← Intermediate calculations in hidden columns here.</t>
  </si>
  <si>
    <t>Combined Uncertainty (k=2)</t>
  </si>
  <si>
    <t>Accuracy</t>
  </si>
  <si>
    <t>Normal k=2</t>
  </si>
  <si>
    <t>Resolution</t>
  </si>
  <si>
    <t>Type A Uncertainty (k=2)</t>
  </si>
  <si>
    <t>Other Uncertainty (k=2)</t>
  </si>
  <si>
    <t>%Reading</t>
  </si>
  <si>
    <t>%Range</t>
  </si>
  <si>
    <t>Constant</t>
  </si>
  <si>
    <t>Combined Constant</t>
  </si>
  <si>
    <t>Equipment/Function</t>
  </si>
  <si>
    <t>Keysight 3458A (DCV)</t>
  </si>
  <si>
    <t>Range</t>
  </si>
  <si>
    <t>Range Max</t>
  </si>
  <si>
    <t>Equipment Range</t>
  </si>
  <si>
    <t>100uV</t>
  </si>
  <si>
    <t>1V</t>
  </si>
  <si>
    <t>10V</t>
  </si>
  <si>
    <t>100V</t>
  </si>
  <si>
    <t>1000V</t>
  </si>
  <si>
    <t>Range Name</t>
  </si>
  <si>
    <t>Other1</t>
  </si>
  <si>
    <t>Other2</t>
  </si>
  <si>
    <t>Uniform</t>
  </si>
  <si>
    <t>TypeA</t>
  </si>
  <si>
    <t>OtherUnc</t>
  </si>
  <si>
    <t>SPC?</t>
  </si>
  <si>
    <t>Proficiency Test?</t>
  </si>
  <si>
    <t>Expanded (k=2) Uncertainty</t>
  </si>
  <si>
    <t>⬑ Combined uncertainty is the RSS of all the uncertainty components.</t>
  </si>
  <si>
    <t xml:space="preserve">Type A Uncertainty </t>
  </si>
  <si>
    <t xml:space="preserve">Other Uncertainty </t>
  </si>
  <si>
    <t xml:space="preserve"> Accuracy Lookup</t>
  </si>
  <si>
    <t>mV</t>
  </si>
  <si>
    <t>330mV</t>
  </si>
  <si>
    <t>3.3V</t>
  </si>
  <si>
    <t>33V</t>
  </si>
  <si>
    <t>330V</t>
  </si>
  <si>
    <t>SPC</t>
  </si>
  <si>
    <t>ProfTest</t>
  </si>
  <si>
    <t>Measurand and Tolerance</t>
  </si>
  <si>
    <t>False Accept Risk and Guardband</t>
  </si>
  <si>
    <t>Measurand and Tolerance Under Test</t>
  </si>
  <si>
    <t>Fluke 5522A (DCV)</t>
  </si>
  <si>
    <t>Measurement Equipment and Accuracy</t>
  </si>
  <si>
    <t>Measurement Equipment and Uncertainty (k=2)</t>
  </si>
  <si>
    <t>Observed Reliability</t>
  </si>
  <si>
    <t>MTEReliability</t>
  </si>
  <si>
    <t>Accuracy Reliability</t>
  </si>
  <si>
    <t>⬑ Use 95.45% reliability unless there is data suggesting a different value</t>
  </si>
  <si>
    <t>Ping pong ball weight</t>
  </si>
  <si>
    <t>Section 1, Rule 2</t>
  </si>
  <si>
    <t>Wilson (?) Pressure Gage</t>
  </si>
  <si>
    <t>Yardstick</t>
  </si>
  <si>
    <t>⬑Equipment Accuracy is extracted from Equipment tab using name in "Equipment Used" and "Range" column, or "Quantity" column to chain calibrations</t>
  </si>
  <si>
    <t>← Use this box, for example, when measuring an attribute of a product to see if it meets specifications</t>
  </si>
  <si>
    <t>← Use this box, for example, when calibrating a measurement instrument to be used to take future measurements</t>
  </si>
  <si>
    <t>Measurement Assurance</t>
  </si>
  <si>
    <t>Proficiency Testing Worksheet</t>
  </si>
  <si>
    <t>Nominal Value</t>
  </si>
  <si>
    <t>Test Date</t>
  </si>
  <si>
    <t>Participating Lab ID</t>
  </si>
  <si>
    <t>Measured Uncertainty (k=2)</t>
  </si>
  <si>
    <t>External Lab's Measured Value</t>
  </si>
  <si>
    <t>External Lab's Measured Uncertainty (k=2)</t>
  </si>
  <si>
    <t>Pass/Fail</t>
  </si>
  <si>
    <t>PSL</t>
  </si>
  <si>
    <t>Normalized
Error En</t>
  </si>
  <si>
    <t>Notes</t>
  </si>
  <si>
    <t>Measurement System:</t>
  </si>
  <si>
    <t>Start Date</t>
  </si>
  <si>
    <t>End Date</t>
  </si>
  <si>
    <t>Interval Length</t>
  </si>
  <si>
    <t>Total calibrations</t>
  </si>
  <si>
    <t>Passing calibrations</t>
  </si>
  <si>
    <t>Tolerance (days)</t>
  </si>
  <si>
    <t>Interval (days) to Test</t>
  </si>
  <si>
    <t>True reliability (lower)</t>
  </si>
  <si>
    <t>True reliability (upper)</t>
  </si>
  <si>
    <t>Rejection Confidence</t>
  </si>
  <si>
    <t>Suggested interval</t>
  </si>
  <si>
    <t>Change confidence</t>
  </si>
  <si>
    <t>Reliability Target</t>
  </si>
  <si>
    <t>Maximum change factor</t>
  </si>
  <si>
    <t>Asset</t>
  </si>
  <si>
    <t>Workorder</t>
  </si>
  <si>
    <t>Enter "1" for in-tolerance, "0" for out of tolerance. Can use "NA", or other designators to exclude items that were damaged, lost, etc.</t>
  </si>
  <si>
    <t>IT(1)/OOT(0)</t>
  </si>
  <si>
    <t>Parameters</t>
  </si>
  <si>
    <t>May include calibration cycles for similar items (other items of same model number, for example)</t>
  </si>
  <si>
    <t>Date/Time</t>
  </si>
  <si>
    <t>Control Limit</t>
  </si>
  <si>
    <t>Average</t>
  </si>
  <si>
    <t>Item Description</t>
  </si>
  <si>
    <t>Control Limit σ</t>
  </si>
  <si>
    <t>Exceed Limit?</t>
  </si>
  <si>
    <t>⬑Link the Measurement Assurance columns to interval, SPC, or Prof.Test tabs as appropriate.</t>
  </si>
  <si>
    <t>Cost Model - compare financial tradeoff between false accept and false reject</t>
  </si>
  <si>
    <t>Voltage Calibrator</t>
  </si>
  <si>
    <t>⬑Battery Voltage</t>
  </si>
  <si>
    <t>Equipment Accuracy Lookup</t>
  </si>
  <si>
    <t>Equipment Reliability</t>
  </si>
  <si>
    <t>Reliability</t>
  </si>
  <si>
    <t>95.45% for k=2</t>
  </si>
  <si>
    <t>GBOverride</t>
  </si>
  <si>
    <t>N</t>
  </si>
  <si>
    <t>PFA
(No Guardband)</t>
  </si>
  <si>
    <t>Guardband Override?</t>
  </si>
  <si>
    <t>PFR</t>
  </si>
  <si>
    <t>Standard Unc.</t>
  </si>
  <si>
    <t>Variance</t>
  </si>
  <si>
    <t>Measured Variables and Uncertainties</t>
  </si>
  <si>
    <t>Press CTRL+F3 to open Name Manager, then edit the __GUM_MODEL function to define the measurement equation.</t>
  </si>
  <si>
    <t>To duplicate this tab, create another copy of __GUM_MODEL and change cells L6 and Q6 (dashed outline) to reference the new function.</t>
  </si>
  <si>
    <t>=LAMBDA(delta,t,rs,p,SQRT(2*delta*t*rs/p))</t>
  </si>
  <si>
    <t>Pitot Tube Airspeed Example</t>
  </si>
  <si>
    <t>Example from Kline and McClintock's 1953 paper originating the GUM method</t>
  </si>
  <si>
    <t>Measured difference in static vs total pressure</t>
  </si>
  <si>
    <t>Ambient Temperature</t>
  </si>
  <si>
    <t>Specific gas constant for dry air. Assuming no uncertainty.</t>
  </si>
  <si>
    <t>Ambient pressure</t>
  </si>
  <si>
    <t>Viscosity of test liquid</t>
  </si>
  <si>
    <t>Example E3 from NIST TN-1900</t>
  </si>
  <si>
    <t>=LAMBDA(muc,rhob,rhoc,rhom,tc,tm, muc*tm*(rhob-rhom)/(tc*(rhob-rhoc)))</t>
  </si>
  <si>
    <t>mu</t>
  </si>
  <si>
    <t>mPa.s</t>
  </si>
  <si>
    <t>rho_b</t>
  </si>
  <si>
    <t>kg/m3</t>
  </si>
  <si>
    <t>rho_c</t>
  </si>
  <si>
    <t>rho_m</t>
  </si>
  <si>
    <t>t_c</t>
  </si>
  <si>
    <t>s</t>
  </si>
  <si>
    <t>t_m</t>
  </si>
  <si>
    <t>Examples - Copy/Paste into variables table and change the __GUM_MODEL to the given LAMBDA:</t>
  </si>
  <si>
    <t>Viscosity of calibration liquid</t>
  </si>
  <si>
    <t>Density of ball</t>
  </si>
  <si>
    <t>Density of calibration liquid</t>
  </si>
  <si>
    <t>Densityof sodium hydroxide</t>
  </si>
  <si>
    <t>Travel time in calibration liquid</t>
  </si>
  <si>
    <t>Travel time in sodium hydroxide</t>
  </si>
  <si>
    <t>Define thresholds at which to apply guardbanding for different criticality levels.</t>
  </si>
  <si>
    <t>⬑ Type A may be linked to a Type A Uncertainty tab</t>
  </si>
  <si>
    <t>⬑ Other Uncertainty may be linked to a GUM Uncertainty tab for indirect measurement models.</t>
  </si>
  <si>
    <t>The Measurement Assurance Plan answers the question "Is my measuring equipment good enough to inspect a UUT against a tolerance?" It computes Test Uncertainty Ratio and Global Probablity of False Accept as metrics of measurement decision risk. It also computes Guardbanded Acceptance Limits, using the Root-Difference-Square (RDS) or Target-PFA methods as a means to mitigate this risk. Other tools are included for monitoring a measurement process over time.
No Excel Macros are used, however the calculations make use of Excel's LAMBDA function which is only available in Office 365 or 2024.</t>
  </si>
  <si>
    <t>Calculate uncertainty in an indirect measurement model using the GUM method.</t>
  </si>
  <si>
    <t>Type A - Repeatability</t>
  </si>
  <si>
    <t>Calculate uncertainty in N repeated measurements under repeatability conditions.</t>
  </si>
  <si>
    <t>Type A - Reproducibility</t>
  </si>
  <si>
    <t>Calculate uncertainty in N repeated conditions x M reproducibility groups (such as days, operators, etc.)</t>
  </si>
  <si>
    <t>Calculates global and specific risk for a single measurement, assuming normal distributions. Includes cost model to optimize tradeoff between false accept and false reject.</t>
  </si>
  <si>
    <t>Table of equipment specifications that can be looked up from MAP tabs.</t>
  </si>
  <si>
    <t>Intervals</t>
  </si>
  <si>
    <t>Calculate optimal calibration intervals to achieve desired reliability using method A3 from NCSLI RP-1.</t>
  </si>
  <si>
    <t>Statistical Process Control for control-chart monitoring of a measurement process over time</t>
  </si>
  <si>
    <t>Prof.Test</t>
  </si>
  <si>
    <t>Evaluate results of proficiency testing for monitoring a measurement process</t>
  </si>
  <si>
    <t>Provides allowable options for dropdown menus. Hidden by default.</t>
  </si>
  <si>
    <t>In Tolerance Probability</t>
  </si>
  <si>
    <t>Enter the (true) in-tolerance probability as a percent. This is the percent of all similar devices expected to be in tolerance, based on historical calibration/measurement data or other information.</t>
  </si>
  <si>
    <t>Enter the make and model of the equipment used to make the measurement.</t>
  </si>
  <si>
    <t>For equipment lookup from the Equipment tab, enter the equipment range.</t>
  </si>
  <si>
    <t>Type A Uncertainty</t>
  </si>
  <si>
    <t>Other Uncertainty</t>
  </si>
  <si>
    <t>Enter any Type A uncertainty associated with this measurement. This may be linked to a Type A worksheet if needed. An expanded uncertainty at a 95% level of confidence (approximately k=2) should be entered.</t>
  </si>
  <si>
    <t>Enter any other uncertainty associated with the measurement. An expanded uncertainty at a 95% level of confidence (approximately k=2) should be entered.</t>
  </si>
  <si>
    <t>Guardband Override</t>
  </si>
  <si>
    <t>Check this box to override the built-in guardband calculation.</t>
  </si>
  <si>
    <t>Indicate whether calibration is required. Optionally link to an "Intervals" tab to monitor calibration interval.</t>
  </si>
  <si>
    <t>Indicate whether Statistical Process Control is used to monitor the measurement. Optionally link to an SPC tab.</t>
  </si>
  <si>
    <t>Indicate whether proficiency testing is performed on the measurement. Optionally link to a Prof.Test tab.</t>
  </si>
  <si>
    <t>The Global Probability of False Reject (PFR) with guardbanding applied.</t>
  </si>
  <si>
    <t>Equipment Combined Uncertainty</t>
  </si>
  <si>
    <t>Combines (RSS) uncertainty components of the measurement</t>
  </si>
  <si>
    <t>Compute equipment accuracy using data from Equipment tab.</t>
  </si>
  <si>
    <t>General Equations</t>
  </si>
  <si>
    <t>=LAMBDA(values,function,
    IFERROR(function(INDEX(values,1),INDEX(values,2),INDEX(values,3),INDEX(values,4),INDEX(values,5),INDEX(values,6),INDEX(values,7),INDEX(values,8)),
    IFERROR(function(INDEX(values,1),INDEX(values,2),INDEX(values,3),INDEX(values,4),INDEX(values,5),INDEX(values,6),INDEX(values,7)),
    IFERROR(function(INDEX(values,1),INDEX(values,2),INDEX(values,3),INDEX(values,4),INDEX(values,5),INDEX(values,6)),
    IFERROR(function(INDEX(values,1),INDEX(values,2),INDEX(values,3),INDEX(values,4),INDEX(values,5)),
    IFERROR(function(INDEX(values,1),INDEX(values,2),INDEX(values,3),INDEX(values,4)),
    IFERROR(function(INDEX(values,1),INDEX(values,2),INDEX(values,3)),
    IFERROR(function(INDEX(values,1),INDEX(values,2)),
    function(INDEX(values,1)))))))))
)</t>
  </si>
  <si>
    <t>Evaluates the measurement model function using a range of values, limiting the number of arguments to the number in the array.
This is ugly, but there's no introspection or alternative to provide aribtrary-length lambda input. Extend if adding more than 8 variables.</t>
  </si>
  <si>
    <t>These are the same formulas entered in the Name Manager, listed here for readability and additional comments. To modify, copy them to a real code editor then paste in to the name manager.</t>
  </si>
  <si>
    <t>Third-Party Functions</t>
  </si>
  <si>
    <t>L_SOLVE_NR</t>
  </si>
  <si>
    <t>=LAMBDA(function,xstart,[y],[xstep],[epsilon],[iterations],[info],
        LET(doc,"https://www.vertex42.com/lambda/newton-raphson.html",
            version,"1.0.0",
            n,ROWS(xstart),
            y,IF(ISOMITTED(y),0,y),
            xstep,IF(ISOMITTED(xstep),0.1,xstep),
            epsilon,IF(ISOMITTED(epsilon),1E-14,epsilon),
            iterations,IF(ISOMITTED(iterations),20,iterations),
            ret,REDUCE({"x","Fx","Iterations"},SEQUENCE(n),LAMBDA(acc_row,i,
                VSTACK(acc_row,
                REDUCE(
                    HSTACK(INDEX(xstart,i),function(INDEX(xstart,i))-y,0),
                    SEQUENCE(iterations),
                    LAMBDA(acc,k,
                    LET(cur_row,TAKE(acc,-1),
                        IF(ABS(INDEX(cur_row,1,2))&lt;ABS(epsilon),acc,
                            LET(
                                xn,INDEX(cur_row,1,1),
                                fn,INDEX(cur_row,1,2),
                                fprimen,(function(xn+xstep)-y-fn)/xstep,
                                xnew,xn-fn/fprimen,
                                fnew,function(xnew)-y,
                                new_row,HSTACK(xnew,fnew,k),
                                output,IF(info="verbose",VSTACK(acc,new_row),new_row),
                                output
                            )
                        )
                    ))
                ))
            )),
            IF(OR(info=TRUE,info="verbose"),ret,DROP(ret,1,-2))
        ));</t>
  </si>
  <si>
    <t>BIVARIATE_NORMCDF</t>
  </si>
  <si>
    <t>=LAMBDA(p,q,rho,
    LET(cx, -1.0950081470333,
        cy, -0.75651138383854,
        d, SQRT(1-rho^2),
        a, -rho/d,
        b, p/d,
        aqplusb, a*q + b,
        z, 1-a^2*cy,
        sqrtz, SQRT(z),
        sqrt2, SQRT(2),
        IF(a&gt;=0, NA(),
            IF(aqplusb&gt;=0,
                0.5 + 0.5 * ERF(q/sqrt2)
                - 1/(4*sqrtz) * EXP((a^2*cx^2+2*sqrt2*b*cx+2*b^2*cy)/(4*z))
                * (1 + ERF((sqrt2*q - sqrt2*a^2*cy*q - sqrt2*a*b*cy - a*cx)/(2*sqrtz))),
                0.5 - 0.5 * ERF(b/(sqrt2*a))
                - 1/(4*sqrtz) * EXP((a^2*cx^2+2*sqrt2*b*cx+2*b^2*cy)/(4*z))
                * (1 - ERF((sqrt2*b + a^2*cx)/(2*a*sqrtz)))
                + 1/(4*sqrtz) * EXP((a^2*cx^2-2*sqrt2*b*cx+2*b^2*cy)/(4*z))
                * (ERF((sqrt2*q-sqrt2*a^2*cy*q - sqrt2*a*b*cy + a*cx)/(2*sqrtz))
                + ERF((-(a^2)*cx + sqrt2*b)/(2*a*sqrtz)))
            )
        )
    ) 
)</t>
  </si>
  <si>
    <t>Tolerance Functions</t>
  </si>
  <si>
    <t>For manipulating tolerance defined by three cells.</t>
  </si>
  <si>
    <t>IS_SYMMETRIC</t>
  </si>
  <si>
    <t>Determine whether the tolerance is symmetric about the nominal.</t>
  </si>
  <si>
    <t>TOL_LOWER_LIMIT</t>
  </si>
  <si>
    <t>=LAMBDA(tola,toltype,tolb, IFS(toltype="±", tola-tolb, toltype="to", tola, toltype="min", MAX(tolb, tola)))</t>
  </si>
  <si>
    <t>Returns the lower limit of a tolerance cell set, or NA for maximum tolerances</t>
  </si>
  <si>
    <t>TOL_UPPER_LIMIT</t>
  </si>
  <si>
    <t>Returns the upper limit of a tolerance cell set, or NA for minimum tolerances</t>
  </si>
  <si>
    <t>=LAMBDA(tola,toltype,tolb, IFS(toltype="±", tola+tolb, toltype="to", tolb, toltype="max", MAX(tolb, tola)))</t>
  </si>
  <si>
    <t>TOL_DISPLAY_1</t>
  </si>
  <si>
    <t>TOL_DISPLAY_2</t>
  </si>
  <si>
    <t>=LAMBDA(tl,tu,toltype,
        IFS(toltype="±", (tl+tu)/2,
            toltype="to", tl,
            1, " "
        )
    )</t>
  </si>
  <si>
    <t>=LAMBDA(tl,tu,toltype,
        LET(center, (tl+tu)/2,
            pm, ABS(tl-center),
            IFS(toltype="±", pm,
                toltype="to", tu,
                toltype="max", tu,
                toltype="min", tl
            )
        )
    )</t>
  </si>
  <si>
    <t>Determine the second value (after the ± indicator) to display in the acceptance limit column.</t>
  </si>
  <si>
    <t>Determine the first value (before the ± indicator) to display in the acceptance limit column.</t>
  </si>
  <si>
    <t>PFA Functions</t>
  </si>
  <si>
    <t>=LAMBDA(tola,toltype,tolb,unc,nom,
        LET(t, MAX(tola,tolb),
            IFS(toltype="±", tolb/unc,
            toltype="to", ABS(tolb-tola)/2/unc,
            toltype="max", (t-nom)/unc,
            toltype="min", (nom-t)/unc)
        )
    )</t>
  </si>
  <si>
    <t>Calculate global/average probability of false accept given tolerance, guardband, measurement uncertainty, and product standard deviation. Assumes normal distributions, but works for one-sided or two-sided tolerances, and nominal value does not have to be centered between the limits.</t>
  </si>
  <si>
    <t>PFA_SYMMETRIC</t>
  </si>
  <si>
    <t>=LAMBDA(t,a,sigt,sigp,
    LET(sp, sigp,
        st, SQRT(sigt^2 + sigp^2),
        rho, SQRT(sigp^2 / (sigp^2+sigt^2)),
        2*(BIVARIATE_NORMCDF(a/st, -t/sp, rho) - BIVARIATE_NORMCDF(-a/st, -t/sp, rho))
    )
)</t>
  </si>
  <si>
    <t>PFA_ASYMMETRIC</t>
  </si>
  <si>
    <t>=LAMBDA(tl,tu,al,au,nom,sigt,sigp,
    LET(sp, sigp,
        st, SQRT(sigt^2 + sigp^2),
        rho, SQRT(sigp^2 / (sigp^2+sigt^2)),
        ttl, IF(ISNUMBER(tl), tl, -1E+99),
        ttu, IF(ISNUMBER(tu), tu, 1E+99),
        aal, IF(ISNUMBER(al), al, ttl),
        aau, IF(ISNUMBER(au), au, ttu),
        pfaleft, IF(ISNUMBER(ttl), BIVARIATE_NORMCDF((aau-nom)/st, (ttl-nom)/sp, rho) - BIVARIATE_NORMCDF((aal-nom)/st, (ttl-nom)/sp, rho), 0),
        pfarght, IF(ISNUMBER(ttu), BIVARIATE_NORMCDF((-aal+nom)/st, (-ttu+nom)/sp, rho) - BIVARIATE_NORMCDF((-aau+nom)/st, (-ttu+nom)/sp, rho), 0),
    pfaleft+pfarght
    )
)</t>
  </si>
  <si>
    <t>Compute global probability of false reject tolerance, guardband, measurement uncertainty, and product standard deviation. Assumes normal distributions, but works for one-sided or two-sided tolerances, and nominal value does not have to be centered between the limits.</t>
  </si>
  <si>
    <t>PFR_SYMMETRIC</t>
  </si>
  <si>
    <t>=LAMBDA(t,a,sigt,sigp,
    LET(sp, sigp,
        st, SQRT(sigt^2 + sigp^2),
        rho, SQRT(sigp^2 / (sigp^2+sigt^2)),
        2*(BIVARIATE_NORMCDF(-a/st, t/sp, rho) - BIVARIATE_NORMCDF(-a/st, -t/sp, rho))
    )
)</t>
  </si>
  <si>
    <t>PFR_ASYMMETRIC</t>
  </si>
  <si>
    <t>=LAMBDA(tl,tu,al,au,nom,sigt,sigp,
    LET(sp, sigp,
        st, SQRT(sigt^2 + sigp^2),
        rho, SQRT(sigp^2 / (sigp^2+sigt^2)),
        ttl, IF(ISNUMBER(tl), tl, -1E+99),
        ttu, IF(ISNUMBER(tu), tu, 1E+99),
        aal, IF(ISNUMBER(al), al, ttl),
        aau, IF(ISNUMBER(au), au, ttu),
        pfrbot, BIVARIATE_NORMCDF((aal-nom)/st, (ttu-nom)/sp, rho) - BIVARIATE_NORMCDF((aal-nom)/st, (ttl-nom)/sp, rho),
        pfrtop, BIVARIATE_NORMCDF((-aau+nom)/st, (-ttl+nom)/sp, rho) - BIVARIATE_NORMCDF((-aau+nom)/st, (-ttu+nom)/sp, rho),
    pfrtop+pfrbot
    )
)</t>
  </si>
  <si>
    <t>Guardbanding Functions</t>
  </si>
  <si>
    <t>GB_NEEDED</t>
  </si>
  <si>
    <t>=LAMBDA(gbmethod,turval,pfaval,criticality,
        IFS(gbmethod="RDS", turval&lt;GB_MINTUR(criticality),
            gbmethod="PFA", pfaval&gt;GB_MAXPFA(criticality),
            TRUE, FALSE
        )
    )</t>
  </si>
  <si>
    <t>Determine whether guardbanding is needed per the criticality level and criticality table.</t>
  </si>
  <si>
    <t>GB_MAXPFA</t>
  </si>
  <si>
    <t>GB_MINTUR</t>
  </si>
  <si>
    <t>=LAMBDA(criticality, INDEX(CriticalityTable[MAXPFA], MATCH(criticality,CriticalityTable[Criticality]), 0))</t>
  </si>
  <si>
    <t>=LAMBDA(criticality, INDEX(CriticalityTable[MINTUR], MATCH(criticality,CriticalityTable[Criticality]), 0))</t>
  </si>
  <si>
    <t>Get maximum allowable PFA from criticality table</t>
  </si>
  <si>
    <t>Get minimum allowable TUR from criticality table</t>
  </si>
  <si>
    <t>GB_WIDTH</t>
  </si>
  <si>
    <t>=LAMBDA(tur,unc,tl,tu,
        IF(AND(ISNUMBER(tur), tur&gt;=1),
            unc*(tur*(1-(SQRT(1-1/tur^2)))),
            unc
        )
    )</t>
  </si>
  <si>
    <t>GBW_RDS</t>
  </si>
  <si>
    <t>Calculate guardbanded width using Root-Difference-Squares method. If TUR is not defined (one-sided limit), the width of the guardband is 1*uncertainty. `unc` is k=2.</t>
  </si>
  <si>
    <t>GBW_TARGET</t>
  </si>
  <si>
    <t>Calculate guardband width to target the desired PFA. Results in symmetric guardband widths. Solved numerically.</t>
  </si>
  <si>
    <t>EQUIPMENT_LOOKUP</t>
  </si>
  <si>
    <t>=LAMBDA(name,rangename,reading,
    LET(pctreading, XLOOKUP(1,
                (EquipmentSpecs[Equipment/Function]=name)*(EquipmentSpecs[Range Name]=rangename),
                EquipmentSpecs[%Reading], 0
            ),
        const, XLOOKUP(1,
            (EquipmentSpecs[Equipment/Function]=name)*(EquipmentSpecs[Range Name]=rangename),
            EquipmentSpecs[Combined Constant], 0),
        pctreading*reading + const
    )
)</t>
  </si>
  <si>
    <t>Look up Equipment Accuracy from the EquipmentSpecs table. Adds %reading to %range and other uncertainties in the table.</t>
  </si>
  <si>
    <t>GUM Uncertainty Functions</t>
  </si>
  <si>
    <t>__GUM_MODEL</t>
  </si>
  <si>
    <t>User-defined measurement equation. Defaults to the Pitot-Tube example from Kline-McClintock paper. Edit this in Name Manager for different measurement equations.</t>
  </si>
  <si>
    <t>GUM_EVAL</t>
  </si>
  <si>
    <t>GUM_VARIANCE</t>
  </si>
  <si>
    <t>=LAMBDA(uncerts, dfdx,
    LET(x, uncerts*dfdx,
        SUMSQ(FILTER(x, NOT(ISERROR(x))))
    )
)</t>
  </si>
  <si>
    <t>Compute variance in measurement model using GUM equation, given uncertainties and sensitivity coefficients.</t>
  </si>
  <si>
    <t>GUM_EPSILON</t>
  </si>
  <si>
    <t>=LAMBDA(uncs,i,
    MAP(SEQUENCE(8),
        LAMBDA(k, IF(k=i, INDEX(uncs,k)/1000, 0))
    )
)</t>
  </si>
  <si>
    <t>Compute epsilon used to compute numerical derivatives in GUM sensitivity coefficients</t>
  </si>
  <si>
    <t>=LAMBDA(values,uncs,function,
    MAP(SEQUENCE(8), LAMBDA(k,
        LET(eps, GUM_EPSILON(uncs, k),
            plus, GUM_EVAL(values+eps, function),
            minus, GUM_EVAL(values-eps, function),
            dfdx, (plus-minus)/(INDEX(eps,k)*2),
            IF(INDEX(eps,k)=0, 0, IFERROR(dfdx, ""))
        )
    ))
)</t>
  </si>
  <si>
    <t>GUM_DFDX</t>
  </si>
  <si>
    <t>GUM_DEGF</t>
  </si>
  <si>
    <t>=LAMBDA(varcombined,uncerts,dfdx,degfs,
    LET(s_over_d, uncerts^4*dfdx^4/degfs,
        varcombined^2 / SUM(FILTER(s_over_d, NOT(ISERROR(s_over_d))))
    )
)</t>
  </si>
  <si>
    <t>Calculate effective degrees of freedom using Welch-Satterthwaite</t>
  </si>
  <si>
    <t>Newton-Raphson solver
From https://www.vertex42.com/lambda/newton-raphson.html
(MIT Licensed)</t>
  </si>
  <si>
    <t>Formula Reference</t>
  </si>
  <si>
    <t>Lists the formulas defined in Excel's Name Manager for reference. Hidden by default.</t>
  </si>
  <si>
    <t>Compute integral of standard bivariate normal distribution with correlation rho from (-infty..p), (-infty..q). Uses the algorithm given by Tsay and Ke, "A simple approximation for the bivariate normal integral", 2021.
https://doi.org/10.1080/03610918.2021.1884718
In the PFA and PFR calculations, rho is always positive, so only cases 4 and 5 of the Tsay-Ke algorithm are needed. Other cases (a&gt;0) will return #NA, but could be added easily.
This approximation is much faster than using numerical (Trapezoidal or Simpson) integration methods, and results in similar or better accuracy.
The distributions used in the standard PFA equation must be scaled appropriately before input to the standard bivariate normal distribution. PFA_SYMMETRIC and PFA_ASYMMETRIC functions apply this scaling.</t>
  </si>
  <si>
    <t>Compute global PFA for asymmetric tolerances (nominal not centered, or one-sided limits).
sigmat and sigmap defined by the test measurement and product distribution must be converted to sp, st, and rho as used by the bivariate normal distribuiton. Then the tolerances are scaled by these sigmas for use in the standard bivariate integral.</t>
  </si>
  <si>
    <t>Compute global PFA for symmetric tolerances (two-sided with nominal centered between the tolerances).
sigmat and sigmap defined by the test measurement and product distribution must be converted to sp, st, and rho as used by the bivariate normal distribuiton. Then the tolerances are scaled by these sigmas for use in the standard bivariate integral.</t>
  </si>
  <si>
    <t>Compute global PFR for symmetric tolerances (two-sided with nominal centered between the tolerances).
sigmat and sigmap defined by the test measurement and product distribution must be converted to sp, st, and rho as used by the bivariate normal distribuiton. Then the tolerances are scaled by these sigmas for use in the standard bivariate integral.</t>
  </si>
  <si>
    <t>Compute global PFR for asymmetric tolerances (nominal not centered, or one-sided limits).
sigmat and sigmap defined by the test measurement and product distribution must be converted to sp, st, and rho as used by the bivariate normal distribuiton. Then the tolerances are scaled by these sigmas for use in the standard bivariate integral.</t>
  </si>
  <si>
    <t>Calculate guardbanded width, based on the guardbanding method (either RDS or PFA) and criticality level.</t>
  </si>
  <si>
    <t>RDS and PFA-Target guardband methods are supported.</t>
  </si>
  <si>
    <t>Calculate GUM sensitivity coefficients numerically as [f(x+h)-f(x-h)]/2h, where h is computed using GUM_EPSILON.</t>
  </si>
  <si>
    <t xml:space="preserve">
Calculate test uncertainty ratio as tolerance/uncertainty. For one-sided limits, the "modified TUR" [abs(limit-tolerance)/uncertainty] is calculated if the nominal is not equal the tolerance. `unc` is k=2 uncertainty.</t>
  </si>
  <si>
    <t xml:space="preserve">• Convert MAPs to use Excel Table so the hidden columns are automatically extended when adding new rows.
• Fix conditional formatting error due to floating-point comparison
• Change PFA calculation algorithm to increase performance
• Improve GUM Uncertainty calculation to use LAMBDA functions
• Added Equipment Lookup table
•  Added A3 Interval calculation worksheet
•  Added Proficiency Testing worksheet
•  Added Statistical Process Control worksheet
</t>
  </si>
  <si>
    <t>PFR
(Guardbanded)</t>
  </si>
  <si>
    <t>Equipment accuracy and reliability is read from the Equipment tab.</t>
  </si>
  <si>
    <t>Example of chaining measurement traceability. The accuracy/reliability of the Voltage Calibrator is pulled from the previous row.</t>
  </si>
  <si>
    <t>Tolerances don't have to be centered about the expected value.</t>
  </si>
  <si>
    <t>Example of a "to" limit.</t>
  </si>
  <si>
    <t>=LAMBDA(tur,unc,tl,tu,
        IF(ISNUMBER(tur),
            IF(tur&gt;=1,
                unc*(tur*(1-(SQRT(1-1/tur^2)))),
                (tu-tl)/2
            ),
            unc
        )
    )</t>
  </si>
  <si>
    <t>Example from ENGR224 class. Notice acceptance limits are ±0. No false accepts when nothing is accepted!</t>
  </si>
  <si>
    <t>One-sided maximum limit</t>
  </si>
  <si>
    <t>One-sided minimum limit</t>
  </si>
  <si>
    <t>Equipment accuracy read from Equipment tab</t>
  </si>
  <si>
    <t>Equipment not found in Equipment tab. Enter manually in "Other Uncertainty" column.</t>
  </si>
  <si>
    <t>Asymmetric tolerance example</t>
  </si>
  <si>
    <t>Example from ENGR224. Notice guardbanded tolerance is ±0.</t>
  </si>
  <si>
    <t>Example maximum limit</t>
  </si>
  <si>
    <t>Example minimum limit</t>
  </si>
  <si>
    <t>SIGMA_FROM_ITP</t>
  </si>
  <si>
    <t>=LAMBDA(nom,tl,tu,itp,
     IFS(AND(ISNUMBER(tl), ISNUMBER(tu)), LET(
             center, (tl+tu)/2,
             width, (tu-tl)/2,
             bias, (nom-center)/width,
             IF(ABS(bias)&lt;0.000000001, width/NORM.S.INV((1+itp)/2),
                 LET(func, LAMBDA(sigma, NORM.DIST(1, bias, sigma, TRUE)-NORM.DIST(-1,bias,sigma,TRUE)),
                     width*L_SOLVE_NR(func, 0.5, itp, 0.00001)
                 )
             )
         ),
         ISNUMBER(tl), IF(tl=nom, NA(), ABS(nom-tl)/NORM.S.INV(itp)),
         ISNUMBER(tu), IF(tu=nom, NA(), ABS(tu-nom)/NORM.S.INV(itp))
     )
 )</t>
  </si>
  <si>
    <t>Convert limits and ITP into standard deviation</t>
  </si>
  <si>
    <t>=LAMBDA(tl,tu,nom,sigt,sigp,pfaval,
    IFS(AND(ISNUMBER(tl), ISNUMBER(tu)), LET(
            func, LAMBDA(x, PFA(tl,tu,tl+x,tu-x,nom,sigt,sigp)),
            L_SOLVE_NR(func, sigt/10, pfaval, sigt/100, sigt/5000, 25)
        ),
        ISNUMBER(tl), LET(
            func, LAMBDA(x, PFA_ASYMMETRIC(NA(),tu,NA(),tu-x,nom,sigt,sigp)),
            L_SOLVE_NR(func, sigt/10, pfaval, sigt/100, sigt/5000, 25)
        ),
        ISNUMBER(tu), LET(
            func, LAMBDA(x, PFA_ASYMMETRIC(tl,NA(),tl+x,NA(),nom,sigt,sigp)),
            L_SOLVE_NR(func, sigt/10, pfaval, sigt/100, sigt/5000, 25)
        )
    )
)</t>
  </si>
  <si>
    <t>SAND2025-10736O</t>
  </si>
  <si>
    <t>v0.2</t>
  </si>
  <si>
    <t>=LAMBDA(tl,tu,al,au,nom,
    IFS(ISERROR(tu-nom), FALSE,
        ISERROR(nom-tl), FALSE,
        ISERROR(au-nom), FALSE,
        ISERROR(al-nom), FALSE,
        ABS((tu-nom)-(nom-tl))&gt;1E-9, FALSE,
        ABS((al-nom)-(nom-al))&gt;1E-9, FALSE,
        TRUE, TRUE
    )
)</t>
  </si>
  <si>
    <t>=LAMBDA(tl,tu,al,au,nom,sigt,sigp,
    IF(IS_SYMMETRIC(tl,tu,al,au,nom), PFA_SYMMETRIC((tu-tl)/2, (au-al)/2, sigt, sigp),
       PFA_ASYMMETRIC(tl, tu, al, au, nom, sigt, sigp)
    )
)</t>
  </si>
  <si>
    <t>=LAMBDA(tl,tu,al,au,nom,sigt,sigp,
        IF(IS_SYMMETRIC(tl,tu,al,au,nom), PFR_SYMMETRIC((tu-tl)/2, (au-al)/2, sigt, sigp),
        PFR_ASYMMETRIC(tl, tu, al, au, nom, sigt, sigp)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</si>
</sst>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0.0000"/>
    <numFmt numFmtId="165" formatCode="0.000"/>
    <numFmt numFmtId="166" formatCode="0.0"/>
    <numFmt numFmtId="167" formatCode="0.0000%"/>
    <numFmt numFmtId="168" formatCode="0.000000"/>
    <numFmt numFmtId="169" formatCode="0.00000"/>
    <numFmt numFmtId="170" formatCode="0.0%"/>
    <numFmt numFmtId="171" formatCode="0.000%"/>
    <numFmt numFmtId="172" formatCode="_(* #,##0_);_(* \(#,##0\);_(* &quot;-&quot;??_);_(@_)"/>
    <numFmt numFmtId="173" formatCode="yyyy\-mm\-dd;@"/>
    <numFmt numFmtId="174" formatCode="0.00000%"/>
    <numFmt numFmtId="175" formatCode="0.000000%"/>
    <numFmt numFmtId="176" formatCode="0.0000E+00"/>
    <numFmt numFmtId="177" formatCode="0.00000000"/>
    <numFmt numFmtId="178" formatCode="0.000000000000000"/>
  </numFmts>
  <fonts count="20"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b/>
      <sz val="11"/>
      <color theme="0"/>
      <name val="Calibri"/>
      <family val="2"/>
      <scheme val="minor"/>
    </font>
    <font>
      <sz val="11"/>
      <color theme="0"/>
      <name val="Calibri"/>
      <family val="2"/>
      <scheme val="minor"/>
    </font>
    <font>
      <b/>
      <sz val="11"/>
      <color rgb="FFC00000"/>
      <name val="Calibri"/>
      <family val="2"/>
      <scheme val="minor"/>
    </font>
    <font>
      <sz val="8"/>
      <name val="Calibri"/>
      <family val="2"/>
      <scheme val="minor"/>
    </font>
    <font>
      <b/>
      <sz val="12"/>
      <name val="Calibri"/>
      <family val="2"/>
      <scheme val="minor"/>
    </font>
    <font>
      <b/>
      <sz val="11"/>
      <name val="Calibri"/>
      <family val="2"/>
      <scheme val="minor"/>
    </font>
    <font>
      <sz val="12"/>
      <name val="Calibri"/>
      <family val="2"/>
      <scheme val="minor"/>
    </font>
    <font>
      <sz val="11"/>
      <name val="Calibri"/>
      <family val="2"/>
      <scheme val="minor"/>
    </font>
    <font>
      <i/>
      <sz val="11"/>
      <color rgb="FF323940"/>
      <name val="Calibri"/>
      <family val="2"/>
      <scheme val="minor"/>
    </font>
    <font>
      <sz val="11"/>
      <color theme="8" tint="-0.249977111117893"/>
      <name val="Calibri"/>
      <family val="2"/>
      <scheme val="minor"/>
    </font>
    <font>
      <sz val="11"/>
      <color theme="4"/>
      <name val="Calibri"/>
      <family val="2"/>
      <scheme val="minor"/>
    </font>
    <font>
      <sz val="11"/>
      <color theme="9" tint="-0.249977111117893"/>
      <name val="Calibri"/>
      <family val="2"/>
      <scheme val="minor"/>
    </font>
    <font>
      <b/>
      <sz val="11"/>
      <color theme="9" tint="-0.249977111117893"/>
      <name val="Calibri"/>
      <family val="2"/>
      <scheme val="minor"/>
    </font>
    <font>
      <sz val="11"/>
      <color rgb="FFC00000"/>
      <name val="Calibri"/>
      <family val="2"/>
      <scheme val="minor"/>
    </font>
    <font>
      <sz val="11"/>
      <color rgb="FF323940"/>
      <name val="Calibri"/>
      <family val="2"/>
      <scheme val="minor"/>
    </font>
  </fonts>
  <fills count="13">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9" tint="-0.249977111117893"/>
        <bgColor indexed="64"/>
      </patternFill>
    </fill>
    <fill>
      <patternFill patternType="solid">
        <fgColor theme="4" tint="-0.249977111117893"/>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6"/>
        <bgColor indexed="64"/>
      </patternFill>
    </fill>
  </fills>
  <borders count="3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Dashed">
        <color indexed="64"/>
      </top>
      <bottom/>
      <diagonal/>
    </border>
    <border>
      <left/>
      <right style="mediumDashed">
        <color indexed="64"/>
      </right>
      <top/>
      <bottom/>
      <diagonal/>
    </border>
    <border>
      <left style="mediumDashed">
        <color indexed="64"/>
      </left>
      <right style="medium">
        <color indexed="64"/>
      </right>
      <top/>
      <bottom/>
      <diagonal/>
    </border>
    <border>
      <left/>
      <right/>
      <top style="mediumDashed">
        <color indexed="64"/>
      </top>
      <bottom style="mediumDashed">
        <color indexed="64"/>
      </bottom>
      <diagonal/>
    </border>
    <border>
      <left/>
      <right style="medium">
        <color indexed="64"/>
      </right>
      <top style="medium">
        <color indexed="64"/>
      </top>
      <bottom style="mediumDashed">
        <color indexed="64"/>
      </bottom>
      <diagonal/>
    </border>
    <border>
      <left/>
      <right style="thin">
        <color indexed="64"/>
      </right>
      <top style="mediumDashed">
        <color indexed="64"/>
      </top>
      <bottom/>
      <diagonal/>
    </border>
    <border>
      <left style="mediumDashed">
        <color indexed="64"/>
      </left>
      <right style="medium">
        <color indexed="64"/>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0" fontId="3"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368">
    <xf numFmtId="0" fontId="0" fillId="0" borderId="0" xfId="0"/>
    <xf numFmtId="10" fontId="0" fillId="0" borderId="0" xfId="1" applyNumberFormat="1" applyFont="1"/>
    <xf numFmtId="0" fontId="0" fillId="3" borderId="0" xfId="0" applyFill="1"/>
    <xf numFmtId="0" fontId="0" fillId="3" borderId="0" xfId="0" applyFont="1" applyFill="1"/>
    <xf numFmtId="0" fontId="0" fillId="3" borderId="0" xfId="0" applyFont="1" applyFill="1" applyAlignment="1">
      <alignment wrapText="1"/>
    </xf>
    <xf numFmtId="0" fontId="0" fillId="3" borderId="0" xfId="0" applyFill="1" applyAlignment="1">
      <alignment wrapText="1"/>
    </xf>
    <xf numFmtId="0" fontId="0" fillId="3" borderId="0" xfId="0" applyFill="1" applyAlignment="1">
      <alignment vertical="top" wrapText="1"/>
    </xf>
    <xf numFmtId="0" fontId="2" fillId="3" borderId="2" xfId="0" applyFont="1" applyFill="1" applyBorder="1" applyAlignment="1">
      <alignment vertical="center" wrapText="1"/>
    </xf>
    <xf numFmtId="0" fontId="0" fillId="3" borderId="2" xfId="0" applyFill="1" applyBorder="1" applyAlignment="1">
      <alignment vertical="center" wrapText="1"/>
    </xf>
    <xf numFmtId="0" fontId="2" fillId="3" borderId="2" xfId="0" applyFont="1" applyFill="1" applyBorder="1" applyAlignment="1">
      <alignment horizontal="left" vertical="center" wrapText="1"/>
    </xf>
    <xf numFmtId="0" fontId="0" fillId="3" borderId="2" xfId="0" applyFill="1" applyBorder="1" applyAlignment="1">
      <alignment horizontal="left" vertical="center" wrapText="1"/>
    </xf>
    <xf numFmtId="0" fontId="0" fillId="3" borderId="8" xfId="0" applyFill="1" applyBorder="1" applyAlignment="1">
      <alignment wrapText="1"/>
    </xf>
    <xf numFmtId="0" fontId="0" fillId="3" borderId="9" xfId="0" applyFill="1" applyBorder="1" applyAlignment="1">
      <alignment wrapText="1"/>
    </xf>
    <xf numFmtId="0" fontId="0" fillId="3" borderId="10" xfId="0" applyFill="1" applyBorder="1" applyAlignment="1">
      <alignment wrapText="1"/>
    </xf>
    <xf numFmtId="0" fontId="0" fillId="3" borderId="11" xfId="0" applyFill="1" applyBorder="1" applyAlignment="1">
      <alignment wrapText="1"/>
    </xf>
    <xf numFmtId="0" fontId="0" fillId="3" borderId="0" xfId="0" applyFill="1" applyAlignment="1">
      <alignment horizontal="center"/>
    </xf>
    <xf numFmtId="0" fontId="0" fillId="3" borderId="0" xfId="0" applyFont="1" applyFill="1" applyAlignment="1">
      <alignment horizontal="center"/>
    </xf>
    <xf numFmtId="0" fontId="0" fillId="3" borderId="10" xfId="0" applyFill="1" applyBorder="1" applyAlignment="1">
      <alignment vertical="top" wrapText="1"/>
    </xf>
    <xf numFmtId="0" fontId="0" fillId="4" borderId="0" xfId="0" applyFill="1" applyBorder="1" applyAlignment="1">
      <alignment horizontal="center" vertical="center"/>
    </xf>
    <xf numFmtId="0" fontId="0" fillId="4" borderId="0" xfId="0" applyFill="1" applyBorder="1" applyAlignment="1">
      <alignment vertical="center"/>
    </xf>
    <xf numFmtId="0" fontId="0" fillId="4" borderId="0" xfId="0" applyFill="1"/>
    <xf numFmtId="0" fontId="0" fillId="6" borderId="0" xfId="0" applyFill="1"/>
    <xf numFmtId="0" fontId="0" fillId="4" borderId="15" xfId="0" applyFill="1" applyBorder="1" applyAlignment="1">
      <alignment horizontal="right"/>
    </xf>
    <xf numFmtId="0" fontId="0" fillId="4" borderId="0" xfId="0" applyFill="1" applyBorder="1"/>
    <xf numFmtId="0" fontId="0" fillId="4" borderId="16" xfId="0" applyFill="1" applyBorder="1"/>
    <xf numFmtId="0" fontId="0" fillId="4" borderId="17" xfId="0" applyFill="1" applyBorder="1" applyAlignment="1">
      <alignment horizontal="right"/>
    </xf>
    <xf numFmtId="0" fontId="0" fillId="4" borderId="18" xfId="0" applyFill="1" applyBorder="1"/>
    <xf numFmtId="0" fontId="0" fillId="4" borderId="19" xfId="0" applyFill="1" applyBorder="1"/>
    <xf numFmtId="0" fontId="5" fillId="8" borderId="14" xfId="0" applyFont="1" applyFill="1" applyBorder="1" applyAlignment="1">
      <alignment horizontal="center"/>
    </xf>
    <xf numFmtId="165" fontId="0" fillId="9" borderId="0" xfId="0" applyNumberFormat="1" applyFill="1" applyBorder="1"/>
    <xf numFmtId="0" fontId="0" fillId="9" borderId="16" xfId="0" applyFill="1" applyBorder="1" applyAlignment="1">
      <alignment horizontal="center"/>
    </xf>
    <xf numFmtId="166" fontId="0" fillId="9" borderId="0" xfId="0" applyNumberFormat="1" applyFill="1" applyBorder="1"/>
    <xf numFmtId="2" fontId="0" fillId="9" borderId="0" xfId="0" applyNumberFormat="1" applyFill="1" applyBorder="1"/>
    <xf numFmtId="165" fontId="0" fillId="9" borderId="18" xfId="0" applyNumberFormat="1" applyFill="1" applyBorder="1"/>
    <xf numFmtId="0" fontId="0" fillId="9" borderId="19" xfId="0" applyFill="1" applyBorder="1" applyAlignment="1">
      <alignment horizontal="center"/>
    </xf>
    <xf numFmtId="0" fontId="5" fillId="8" borderId="12" xfId="0" applyFont="1" applyFill="1" applyBorder="1" applyAlignment="1">
      <alignment horizontal="center"/>
    </xf>
    <xf numFmtId="0" fontId="0" fillId="9" borderId="16" xfId="0" applyFill="1" applyBorder="1"/>
    <xf numFmtId="0" fontId="0" fillId="9" borderId="17" xfId="0" applyFill="1" applyBorder="1"/>
    <xf numFmtId="0" fontId="0" fillId="9" borderId="19" xfId="0" applyFill="1" applyBorder="1"/>
    <xf numFmtId="0" fontId="0" fillId="4" borderId="0" xfId="0" applyFill="1" applyBorder="1" applyAlignment="1">
      <alignment horizontal="center"/>
    </xf>
    <xf numFmtId="165" fontId="7" fillId="9" borderId="0" xfId="0" applyNumberFormat="1" applyFont="1" applyFill="1" applyBorder="1"/>
    <xf numFmtId="0" fontId="0" fillId="5" borderId="16" xfId="0" applyFill="1" applyBorder="1"/>
    <xf numFmtId="164" fontId="0" fillId="4" borderId="0" xfId="0" applyNumberFormat="1" applyFill="1" applyBorder="1"/>
    <xf numFmtId="164" fontId="0" fillId="4" borderId="16" xfId="0" applyNumberFormat="1" applyFill="1" applyBorder="1"/>
    <xf numFmtId="164" fontId="0" fillId="4" borderId="18" xfId="0" applyNumberFormat="1" applyFill="1" applyBorder="1"/>
    <xf numFmtId="164" fontId="0" fillId="4" borderId="19" xfId="0" applyNumberFormat="1" applyFill="1" applyBorder="1"/>
    <xf numFmtId="0" fontId="2" fillId="4" borderId="12" xfId="0" applyFont="1" applyFill="1" applyBorder="1" applyAlignment="1">
      <alignment horizontal="right"/>
    </xf>
    <xf numFmtId="0" fontId="2" fillId="4" borderId="13" xfId="0" applyFont="1" applyFill="1" applyBorder="1"/>
    <xf numFmtId="0" fontId="2" fillId="4" borderId="14" xfId="0" applyFont="1" applyFill="1" applyBorder="1"/>
    <xf numFmtId="0" fontId="2" fillId="4" borderId="17" xfId="0" applyFont="1" applyFill="1" applyBorder="1" applyAlignment="1">
      <alignment horizontal="right"/>
    </xf>
    <xf numFmtId="0" fontId="0" fillId="4" borderId="15" xfId="0" applyFill="1" applyBorder="1"/>
    <xf numFmtId="1" fontId="0" fillId="4" borderId="16" xfId="0" applyNumberFormat="1" applyFill="1" applyBorder="1"/>
    <xf numFmtId="0" fontId="0" fillId="4" borderId="16" xfId="0" applyFill="1" applyBorder="1" applyAlignment="1">
      <alignment horizontal="center"/>
    </xf>
    <xf numFmtId="0" fontId="0" fillId="4" borderId="17" xfId="0" applyFill="1" applyBorder="1"/>
    <xf numFmtId="165" fontId="0" fillId="9" borderId="16" xfId="0" applyNumberFormat="1" applyFill="1" applyBorder="1"/>
    <xf numFmtId="0" fontId="0" fillId="4" borderId="16" xfId="0" applyNumberFormat="1" applyFill="1" applyBorder="1"/>
    <xf numFmtId="166" fontId="0" fillId="4" borderId="0" xfId="0" applyNumberFormat="1" applyFill="1" applyBorder="1" applyAlignment="1">
      <alignment horizontal="right" vertical="center"/>
    </xf>
    <xf numFmtId="9" fontId="0" fillId="4" borderId="0" xfId="0" applyNumberFormat="1" applyFill="1" applyBorder="1" applyAlignment="1">
      <alignment vertical="center"/>
    </xf>
    <xf numFmtId="2" fontId="0" fillId="4" borderId="0" xfId="0" applyNumberFormat="1" applyFill="1" applyBorder="1" applyAlignment="1">
      <alignment horizontal="right" vertical="center"/>
    </xf>
    <xf numFmtId="0" fontId="0" fillId="4" borderId="0" xfId="0" applyFill="1" applyBorder="1" applyAlignment="1">
      <alignment horizontal="right" vertical="center"/>
    </xf>
    <xf numFmtId="0" fontId="0" fillId="4" borderId="0" xfId="0" applyFill="1" applyBorder="1" applyAlignment="1">
      <alignment horizontal="right" vertical="center" wrapText="1"/>
    </xf>
    <xf numFmtId="0" fontId="0" fillId="4" borderId="16" xfId="0" applyFill="1" applyBorder="1" applyAlignment="1">
      <alignment vertical="center"/>
    </xf>
    <xf numFmtId="166" fontId="0" fillId="4" borderId="16" xfId="0" applyNumberFormat="1" applyFill="1" applyBorder="1" applyAlignment="1">
      <alignment horizontal="left" vertical="center"/>
    </xf>
    <xf numFmtId="2" fontId="0" fillId="4" borderId="0" xfId="0" applyNumberFormat="1" applyFill="1" applyBorder="1" applyAlignment="1">
      <alignment vertical="center"/>
    </xf>
    <xf numFmtId="0" fontId="2" fillId="9" borderId="15" xfId="0" applyFont="1" applyFill="1" applyBorder="1" applyAlignment="1">
      <alignment horizontal="right"/>
    </xf>
    <xf numFmtId="165" fontId="0" fillId="9" borderId="0" xfId="0" applyNumberFormat="1" applyFill="1" applyBorder="1" applyAlignment="1">
      <alignment vertical="center"/>
    </xf>
    <xf numFmtId="0" fontId="0" fillId="9" borderId="0" xfId="0" applyFill="1" applyBorder="1" applyAlignment="1">
      <alignment vertical="center"/>
    </xf>
    <xf numFmtId="2" fontId="0" fillId="4" borderId="18" xfId="0" applyNumberFormat="1" applyFill="1" applyBorder="1" applyAlignment="1">
      <alignment horizontal="right" vertical="center"/>
    </xf>
    <xf numFmtId="0" fontId="0" fillId="4" borderId="18" xfId="0" applyFill="1" applyBorder="1" applyAlignment="1">
      <alignment vertical="center"/>
    </xf>
    <xf numFmtId="0" fontId="0" fillId="4" borderId="19" xfId="0" applyFill="1" applyBorder="1" applyAlignment="1">
      <alignment vertical="center"/>
    </xf>
    <xf numFmtId="0" fontId="0" fillId="9" borderId="16" xfId="0" applyFill="1" applyBorder="1" applyAlignment="1">
      <alignment vertical="center"/>
    </xf>
    <xf numFmtId="0" fontId="0" fillId="9" borderId="18" xfId="0" applyFill="1" applyBorder="1" applyAlignment="1">
      <alignment vertical="center"/>
    </xf>
    <xf numFmtId="0" fontId="0" fillId="9" borderId="19" xfId="0" applyFill="1" applyBorder="1" applyAlignment="1">
      <alignment vertical="center"/>
    </xf>
    <xf numFmtId="44" fontId="0" fillId="4" borderId="16" xfId="4" applyFont="1" applyFill="1" applyBorder="1"/>
    <xf numFmtId="167" fontId="0" fillId="4" borderId="0" xfId="0" applyNumberFormat="1" applyFill="1" applyBorder="1"/>
    <xf numFmtId="171" fontId="0" fillId="4" borderId="0" xfId="0" applyNumberFormat="1" applyFill="1" applyBorder="1" applyAlignment="1">
      <alignment vertical="center"/>
    </xf>
    <xf numFmtId="171" fontId="0" fillId="9" borderId="0" xfId="1" applyNumberFormat="1" applyFont="1" applyFill="1" applyBorder="1" applyAlignment="1">
      <alignment vertical="center"/>
    </xf>
    <xf numFmtId="0" fontId="2" fillId="9" borderId="0" xfId="0" applyFont="1" applyFill="1" applyBorder="1" applyAlignment="1">
      <alignment horizontal="center" vertical="center"/>
    </xf>
    <xf numFmtId="172" fontId="0" fillId="4" borderId="16" xfId="3" applyNumberFormat="1" applyFont="1" applyFill="1" applyBorder="1"/>
    <xf numFmtId="172" fontId="0" fillId="9" borderId="16" xfId="3" applyNumberFormat="1" applyFont="1" applyFill="1" applyBorder="1"/>
    <xf numFmtId="44" fontId="2" fillId="9" borderId="16" xfId="0" applyNumberFormat="1" applyFont="1" applyFill="1" applyBorder="1"/>
    <xf numFmtId="0" fontId="0" fillId="3" borderId="6" xfId="0" applyFill="1" applyBorder="1" applyAlignment="1">
      <alignment vertical="top" wrapText="1"/>
    </xf>
    <xf numFmtId="0" fontId="0" fillId="0" borderId="0" xfId="0" applyFont="1" applyFill="1"/>
    <xf numFmtId="0" fontId="0" fillId="2" borderId="2" xfId="0" applyFont="1" applyFill="1" applyBorder="1"/>
    <xf numFmtId="0" fontId="0" fillId="0" borderId="0" xfId="0" applyFont="1"/>
    <xf numFmtId="0" fontId="9" fillId="0" borderId="7"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0" xfId="0" quotePrefix="1" applyFont="1" applyFill="1" applyAlignment="1">
      <alignment wrapText="1"/>
    </xf>
    <xf numFmtId="0" fontId="10" fillId="0" borderId="0" xfId="0" applyFont="1" applyFill="1" applyAlignment="1">
      <alignment wrapText="1"/>
    </xf>
    <xf numFmtId="0" fontId="2" fillId="0" borderId="0" xfId="0" applyFont="1" applyFill="1" applyAlignment="1">
      <alignment wrapText="1"/>
    </xf>
    <xf numFmtId="0" fontId="11" fillId="0" borderId="5"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5" xfId="0" applyFont="1" applyFill="1" applyBorder="1" applyAlignment="1">
      <alignment horizontal="left" vertical="center"/>
    </xf>
    <xf numFmtId="0" fontId="0" fillId="0" borderId="4" xfId="0" applyFont="1" applyFill="1" applyBorder="1" applyAlignment="1">
      <alignment horizontal="center" vertical="center"/>
    </xf>
    <xf numFmtId="166" fontId="0" fillId="0" borderId="5" xfId="0" applyNumberFormat="1" applyFont="1" applyFill="1" applyBorder="1" applyAlignment="1">
      <alignment horizontal="center" vertical="center"/>
    </xf>
    <xf numFmtId="0" fontId="0" fillId="0" borderId="0" xfId="0" applyFont="1" applyFill="1" applyAlignment="1">
      <alignment horizontal="center" vertical="center"/>
    </xf>
    <xf numFmtId="166" fontId="0" fillId="0" borderId="0" xfId="0" applyNumberFormat="1" applyFont="1" applyFill="1" applyAlignment="1">
      <alignment horizontal="center" vertical="center"/>
    </xf>
    <xf numFmtId="165" fontId="0" fillId="0" borderId="2" xfId="0" applyNumberFormat="1" applyFont="1" applyFill="1" applyBorder="1" applyAlignment="1">
      <alignment horizontal="center" vertical="center"/>
    </xf>
    <xf numFmtId="164" fontId="0" fillId="0" borderId="0" xfId="0" applyNumberFormat="1" applyFont="1" applyFill="1" applyAlignment="1">
      <alignment horizontal="center" vertical="center"/>
    </xf>
    <xf numFmtId="165" fontId="0" fillId="0" borderId="5" xfId="0" applyNumberFormat="1" applyFont="1" applyFill="1" applyBorder="1" applyAlignment="1">
      <alignment horizontal="center" vertical="center"/>
    </xf>
    <xf numFmtId="0" fontId="11" fillId="2" borderId="3"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3" xfId="0" applyFont="1" applyFill="1" applyBorder="1" applyAlignment="1">
      <alignment vertical="center" wrapText="1"/>
    </xf>
    <xf numFmtId="0" fontId="12" fillId="0" borderId="0" xfId="0" quotePrefix="1" applyFont="1" applyFill="1" applyAlignment="1">
      <alignment wrapText="1"/>
    </xf>
    <xf numFmtId="0" fontId="12" fillId="0" borderId="0" xfId="0" applyFont="1" applyFill="1" applyAlignment="1">
      <alignment wrapText="1"/>
    </xf>
    <xf numFmtId="10" fontId="0" fillId="0" borderId="2" xfId="1" applyNumberFormat="1" applyFont="1" applyFill="1" applyBorder="1" applyAlignment="1">
      <alignment horizontal="center" vertical="center"/>
    </xf>
    <xf numFmtId="0" fontId="0" fillId="3" borderId="0" xfId="0" applyFont="1" applyFill="1" applyAlignment="1">
      <alignment horizontal="center" vertical="center"/>
    </xf>
    <xf numFmtId="0" fontId="11" fillId="2" borderId="20"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0" fillId="9" borderId="15" xfId="0" applyFill="1" applyBorder="1" applyAlignment="1">
      <alignment horizontal="right"/>
    </xf>
    <xf numFmtId="0" fontId="0" fillId="9" borderId="17" xfId="0" applyFill="1" applyBorder="1" applyAlignment="1">
      <alignment horizontal="right"/>
    </xf>
    <xf numFmtId="0" fontId="2" fillId="4" borderId="15" xfId="0" applyFont="1" applyFill="1" applyBorder="1" applyAlignment="1">
      <alignment horizontal="right"/>
    </xf>
    <xf numFmtId="0" fontId="2" fillId="0" borderId="0" xfId="0" applyFont="1"/>
    <xf numFmtId="0" fontId="2" fillId="0" borderId="0" xfId="0" applyFont="1" applyAlignment="1">
      <alignment horizontal="center"/>
    </xf>
    <xf numFmtId="0" fontId="0" fillId="0" borderId="0" xfId="0" applyAlignment="1">
      <alignment horizontal="center"/>
    </xf>
    <xf numFmtId="165" fontId="2" fillId="9" borderId="0" xfId="0" applyNumberFormat="1" applyFont="1" applyFill="1" applyBorder="1" applyAlignment="1">
      <alignment vertical="center"/>
    </xf>
    <xf numFmtId="165" fontId="2" fillId="9" borderId="16" xfId="0" applyNumberFormat="1" applyFont="1" applyFill="1" applyBorder="1" applyAlignment="1">
      <alignment horizontal="left" vertical="center"/>
    </xf>
    <xf numFmtId="0" fontId="13" fillId="0" borderId="7" xfId="0" applyFont="1" applyBorder="1" applyAlignment="1">
      <alignment horizontal="left" wrapText="1"/>
    </xf>
    <xf numFmtId="0" fontId="0" fillId="0" borderId="0" xfId="0" quotePrefix="1" applyAlignment="1">
      <alignment horizontal="left" vertical="center" wrapText="1"/>
    </xf>
    <xf numFmtId="173" fontId="0" fillId="0" borderId="0" xfId="0" applyNumberFormat="1" applyAlignment="1">
      <alignment horizontal="center"/>
    </xf>
    <xf numFmtId="170" fontId="0" fillId="0" borderId="2" xfId="1" applyNumberFormat="1" applyFont="1" applyFill="1" applyBorder="1" applyAlignment="1">
      <alignment horizontal="center" vertical="center"/>
    </xf>
    <xf numFmtId="0" fontId="11" fillId="2" borderId="3" xfId="0" applyFont="1" applyFill="1" applyBorder="1" applyAlignment="1">
      <alignment horizontal="center" vertical="center" wrapText="1"/>
    </xf>
    <xf numFmtId="165" fontId="2" fillId="9" borderId="16" xfId="0" applyNumberFormat="1" applyFont="1" applyFill="1" applyBorder="1"/>
    <xf numFmtId="0" fontId="2" fillId="9" borderId="17" xfId="0" applyFont="1" applyFill="1" applyBorder="1" applyAlignment="1">
      <alignment horizontal="right"/>
    </xf>
    <xf numFmtId="0" fontId="0" fillId="0" borderId="21" xfId="0" applyFont="1" applyFill="1" applyBorder="1" applyAlignment="1">
      <alignment horizontal="center" vertical="center"/>
    </xf>
    <xf numFmtId="0" fontId="0" fillId="0" borderId="1" xfId="0" applyFont="1" applyFill="1" applyBorder="1" applyAlignment="1">
      <alignment horizontal="left" vertical="center"/>
    </xf>
    <xf numFmtId="175" fontId="0" fillId="0" borderId="0" xfId="1" applyNumberFormat="1" applyFont="1"/>
    <xf numFmtId="176" fontId="0" fillId="0" borderId="0" xfId="0" applyNumberFormat="1"/>
    <xf numFmtId="177" fontId="0" fillId="0" borderId="0" xfId="0" applyNumberFormat="1"/>
    <xf numFmtId="0" fontId="9" fillId="0" borderId="6"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11" fillId="2" borderId="1" xfId="0" applyFont="1" applyFill="1" applyBorder="1" applyAlignment="1">
      <alignment vertical="center" wrapText="1"/>
    </xf>
    <xf numFmtId="0" fontId="2" fillId="5" borderId="17" xfId="0" applyFont="1" applyFill="1" applyBorder="1"/>
    <xf numFmtId="0" fontId="0" fillId="0" borderId="0" xfId="0" applyFont="1" applyFill="1" applyAlignment="1">
      <alignment horizontal="center"/>
    </xf>
    <xf numFmtId="166" fontId="3" fillId="0" borderId="5" xfId="2" applyNumberFormat="1" applyFill="1" applyBorder="1" applyAlignment="1">
      <alignment horizontal="center" vertical="center"/>
    </xf>
    <xf numFmtId="0" fontId="0" fillId="0" borderId="0" xfId="0" applyBorder="1"/>
    <xf numFmtId="0" fontId="9" fillId="2" borderId="3"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2" fillId="0" borderId="1" xfId="0" applyFont="1" applyFill="1" applyBorder="1" applyAlignment="1">
      <alignment horizontal="center" vertical="center"/>
    </xf>
    <xf numFmtId="0" fontId="14" fillId="0" borderId="1" xfId="0" applyFont="1" applyFill="1" applyBorder="1" applyAlignment="1">
      <alignment horizontal="center" vertical="center"/>
    </xf>
    <xf numFmtId="166" fontId="14" fillId="0" borderId="2" xfId="0" applyNumberFormat="1" applyFont="1" applyFill="1" applyBorder="1" applyAlignment="1">
      <alignment horizontal="center" vertical="center"/>
    </xf>
    <xf numFmtId="166" fontId="14" fillId="0" borderId="1" xfId="0" applyNumberFormat="1" applyFont="1" applyFill="1" applyBorder="1" applyAlignment="1">
      <alignment horizontal="center" vertical="center"/>
    </xf>
    <xf numFmtId="2" fontId="14" fillId="0" borderId="5"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166" fontId="14" fillId="0" borderId="4" xfId="0" applyNumberFormat="1" applyFont="1" applyFill="1" applyBorder="1" applyAlignment="1">
      <alignment horizontal="center" vertical="center"/>
    </xf>
    <xf numFmtId="165" fontId="14" fillId="0" borderId="5" xfId="0" applyNumberFormat="1" applyFont="1" applyFill="1" applyBorder="1" applyAlignment="1">
      <alignment horizontal="center" vertical="center"/>
    </xf>
    <xf numFmtId="166" fontId="14" fillId="0" borderId="10" xfId="0" applyNumberFormat="1" applyFont="1" applyFill="1" applyBorder="1" applyAlignment="1">
      <alignment horizontal="center" vertical="center"/>
    </xf>
    <xf numFmtId="166" fontId="14" fillId="0" borderId="5" xfId="0" applyNumberFormat="1" applyFont="1" applyFill="1" applyBorder="1" applyAlignment="1">
      <alignment horizontal="center" vertical="center"/>
    </xf>
    <xf numFmtId="170" fontId="14" fillId="0" borderId="2" xfId="1" applyNumberFormat="1" applyFont="1" applyFill="1" applyBorder="1" applyAlignment="1">
      <alignment horizontal="center" vertical="center"/>
    </xf>
    <xf numFmtId="166" fontId="14" fillId="0" borderId="5" xfId="0" applyNumberFormat="1" applyFont="1" applyFill="1" applyBorder="1" applyAlignment="1">
      <alignment horizontal="left" vertical="center"/>
    </xf>
    <xf numFmtId="0" fontId="2" fillId="0" borderId="0" xfId="0" applyFont="1" applyBorder="1"/>
    <xf numFmtId="0" fontId="2" fillId="0" borderId="0" xfId="0" applyFont="1" applyBorder="1" applyAlignment="1">
      <alignment horizontal="center"/>
    </xf>
    <xf numFmtId="0" fontId="0" fillId="0" borderId="0" xfId="0" applyBorder="1" applyAlignment="1">
      <alignment horizontal="center"/>
    </xf>
    <xf numFmtId="174" fontId="0" fillId="0" borderId="0" xfId="0" applyNumberFormat="1" applyBorder="1"/>
    <xf numFmtId="11" fontId="0" fillId="0" borderId="0" xfId="0" applyNumberFormat="1" applyBorder="1"/>
    <xf numFmtId="175" fontId="0" fillId="0" borderId="0" xfId="0" applyNumberFormat="1" applyBorder="1"/>
    <xf numFmtId="0" fontId="9" fillId="0" borderId="20" xfId="0" quotePrefix="1" applyFont="1" applyFill="1" applyBorder="1" applyAlignment="1">
      <alignment horizontal="center" vertical="center" wrapText="1"/>
    </xf>
    <xf numFmtId="0" fontId="9" fillId="0" borderId="7" xfId="0" quotePrefix="1" applyFont="1" applyFill="1" applyBorder="1" applyAlignment="1">
      <alignment horizontal="center" vertical="center" wrapText="1"/>
    </xf>
    <xf numFmtId="0" fontId="11" fillId="0" borderId="0" xfId="0" applyFont="1" applyFill="1" applyBorder="1" applyAlignment="1">
      <alignment horizontal="center" vertical="center" wrapText="1"/>
    </xf>
    <xf numFmtId="0" fontId="0" fillId="0" borderId="5" xfId="0" applyFont="1" applyFill="1" applyBorder="1" applyAlignment="1">
      <alignment horizontal="center" vertical="center"/>
    </xf>
    <xf numFmtId="0" fontId="11" fillId="0" borderId="8" xfId="0" applyFont="1" applyFill="1" applyBorder="1" applyAlignment="1">
      <alignment horizontal="center" vertical="center" wrapText="1"/>
    </xf>
    <xf numFmtId="0" fontId="14" fillId="0" borderId="1" xfId="0" applyNumberFormat="1" applyFont="1" applyFill="1" applyBorder="1" applyAlignment="1">
      <alignment horizontal="center" vertical="center"/>
    </xf>
    <xf numFmtId="166" fontId="14" fillId="0" borderId="1" xfId="0" applyNumberFormat="1" applyFont="1" applyFill="1" applyBorder="1" applyAlignment="1">
      <alignment horizontal="right" vertical="center"/>
    </xf>
    <xf numFmtId="171" fontId="14" fillId="0" borderId="2" xfId="1" applyNumberFormat="1" applyFont="1" applyFill="1" applyBorder="1" applyAlignment="1">
      <alignment horizontal="center" vertical="center"/>
    </xf>
    <xf numFmtId="10" fontId="0" fillId="0" borderId="5" xfId="1" applyNumberFormat="1" applyFont="1" applyFill="1" applyBorder="1" applyAlignment="1">
      <alignment horizontal="center" vertical="center"/>
    </xf>
    <xf numFmtId="164" fontId="14" fillId="0" borderId="1" xfId="0" applyNumberFormat="1" applyFont="1" applyFill="1" applyBorder="1" applyAlignment="1">
      <alignment horizontal="center" vertical="center"/>
    </xf>
    <xf numFmtId="0" fontId="12" fillId="0" borderId="2" xfId="0" applyFont="1" applyFill="1" applyBorder="1" applyAlignment="1">
      <alignment horizontal="center" vertical="center"/>
    </xf>
    <xf numFmtId="2" fontId="14" fillId="0" borderId="4" xfId="0" applyNumberFormat="1" applyFont="1" applyFill="1" applyBorder="1" applyAlignment="1">
      <alignment horizontal="center" vertical="center"/>
    </xf>
    <xf numFmtId="1" fontId="14" fillId="0" borderId="1" xfId="0" applyNumberFormat="1" applyFont="1" applyFill="1" applyBorder="1" applyAlignment="1">
      <alignment horizontal="center" vertical="center"/>
    </xf>
    <xf numFmtId="10" fontId="0" fillId="0" borderId="11" xfId="1" applyNumberFormat="1" applyFont="1" applyFill="1" applyBorder="1" applyAlignment="1">
      <alignment horizontal="center" vertical="center"/>
    </xf>
    <xf numFmtId="0" fontId="11" fillId="0" borderId="21" xfId="0" applyFont="1" applyFill="1" applyBorder="1" applyAlignment="1">
      <alignment vertical="center" wrapText="1"/>
    </xf>
    <xf numFmtId="10" fontId="12" fillId="0" borderId="1" xfId="1" applyNumberFormat="1" applyFont="1" applyFill="1" applyBorder="1" applyAlignment="1">
      <alignment horizontal="center" vertical="center"/>
    </xf>
    <xf numFmtId="0" fontId="0" fillId="0" borderId="0" xfId="0" quotePrefix="1" applyFont="1" applyFill="1" applyAlignment="1">
      <alignment horizontal="center"/>
    </xf>
    <xf numFmtId="168" fontId="15" fillId="0" borderId="1" xfId="0" applyNumberFormat="1" applyFont="1" applyFill="1" applyBorder="1" applyAlignment="1">
      <alignment horizontal="center" vertical="center"/>
    </xf>
    <xf numFmtId="0" fontId="2" fillId="0" borderId="0" xfId="0" applyFont="1" applyFill="1" applyBorder="1" applyAlignment="1">
      <alignment horizontal="right"/>
    </xf>
    <xf numFmtId="0" fontId="0" fillId="0" borderId="0" xfId="0" applyFill="1"/>
    <xf numFmtId="0" fontId="0" fillId="0" borderId="18" xfId="0" applyFill="1" applyBorder="1"/>
    <xf numFmtId="0" fontId="5" fillId="0" borderId="0" xfId="0" applyFont="1" applyFill="1" applyBorder="1" applyAlignment="1"/>
    <xf numFmtId="0" fontId="0" fillId="0" borderId="0" xfId="0" applyFill="1" applyBorder="1"/>
    <xf numFmtId="0" fontId="2" fillId="0" borderId="0" xfId="0" applyFont="1" applyFill="1"/>
    <xf numFmtId="164" fontId="0" fillId="0" borderId="0" xfId="0" applyNumberFormat="1" applyFill="1" applyBorder="1"/>
    <xf numFmtId="0" fontId="0" fillId="0" borderId="0" xfId="0" applyFill="1" applyAlignment="1">
      <alignment horizontal="right"/>
    </xf>
    <xf numFmtId="0" fontId="2" fillId="0" borderId="0" xfId="0" applyFont="1" applyFill="1" applyBorder="1"/>
    <xf numFmtId="0" fontId="0" fillId="0" borderId="0" xfId="0" applyFill="1" applyBorder="1" applyAlignment="1">
      <alignment horizontal="right"/>
    </xf>
    <xf numFmtId="0" fontId="6" fillId="0" borderId="0" xfId="0" applyFont="1" applyFill="1" applyBorder="1"/>
    <xf numFmtId="0" fontId="0" fillId="6" borderId="12" xfId="0" applyFill="1" applyBorder="1" applyAlignment="1">
      <alignment horizontal="right"/>
    </xf>
    <xf numFmtId="0" fontId="0" fillId="6" borderId="13" xfId="0" applyFill="1" applyBorder="1"/>
    <xf numFmtId="0" fontId="0" fillId="6" borderId="14" xfId="0" applyFill="1" applyBorder="1"/>
    <xf numFmtId="0" fontId="0" fillId="6" borderId="15" xfId="0" applyFill="1" applyBorder="1" applyAlignment="1">
      <alignment horizontal="right"/>
    </xf>
    <xf numFmtId="0" fontId="0" fillId="6" borderId="0" xfId="0" applyFill="1" applyBorder="1"/>
    <xf numFmtId="0" fontId="0" fillId="6" borderId="16" xfId="0" applyFill="1" applyBorder="1"/>
    <xf numFmtId="0" fontId="0" fillId="6" borderId="17" xfId="0" applyFill="1" applyBorder="1" applyAlignment="1">
      <alignment horizontal="right"/>
    </xf>
    <xf numFmtId="0" fontId="0" fillId="6" borderId="18" xfId="0" applyFill="1" applyBorder="1"/>
    <xf numFmtId="0" fontId="0" fillId="6" borderId="19" xfId="0" applyFill="1" applyBorder="1"/>
    <xf numFmtId="0" fontId="0" fillId="6" borderId="12" xfId="0" applyFill="1" applyBorder="1"/>
    <xf numFmtId="0" fontId="2" fillId="6" borderId="13" xfId="0" applyFont="1" applyFill="1" applyBorder="1" applyAlignment="1">
      <alignment horizontal="right"/>
    </xf>
    <xf numFmtId="0" fontId="2" fillId="6" borderId="13" xfId="0" applyFont="1" applyFill="1" applyBorder="1" applyAlignment="1">
      <alignment horizontal="center"/>
    </xf>
    <xf numFmtId="0" fontId="2" fillId="6" borderId="13" xfId="0" applyFont="1" applyFill="1" applyBorder="1"/>
    <xf numFmtId="0" fontId="2" fillId="6" borderId="14" xfId="0" applyFont="1" applyFill="1" applyBorder="1"/>
    <xf numFmtId="0" fontId="0" fillId="6" borderId="15" xfId="0" applyFill="1" applyBorder="1"/>
    <xf numFmtId="0" fontId="0" fillId="6" borderId="0" xfId="0" applyFont="1" applyFill="1" applyBorder="1" applyAlignment="1">
      <alignment horizontal="right"/>
    </xf>
    <xf numFmtId="9" fontId="0" fillId="6" borderId="0" xfId="0" applyNumberFormat="1" applyFont="1" applyFill="1" applyBorder="1" applyAlignment="1">
      <alignment horizontal="center"/>
    </xf>
    <xf numFmtId="0" fontId="2" fillId="6" borderId="0" xfId="0" applyFont="1" applyFill="1" applyBorder="1"/>
    <xf numFmtId="0" fontId="2" fillId="6" borderId="16" xfId="0" applyFont="1" applyFill="1" applyBorder="1"/>
    <xf numFmtId="0" fontId="0" fillId="6" borderId="0" xfId="0" applyFill="1" applyBorder="1" applyAlignment="1">
      <alignment horizontal="right"/>
    </xf>
    <xf numFmtId="165" fontId="0" fillId="6" borderId="0" xfId="0" applyNumberFormat="1" applyFill="1" applyBorder="1"/>
    <xf numFmtId="0" fontId="0" fillId="6" borderId="17" xfId="0" applyFill="1" applyBorder="1"/>
    <xf numFmtId="0" fontId="0" fillId="6" borderId="18" xfId="0" applyFill="1" applyBorder="1" applyAlignment="1">
      <alignment horizontal="right"/>
    </xf>
    <xf numFmtId="164" fontId="0" fillId="9" borderId="0" xfId="0" applyNumberFormat="1" applyFill="1" applyBorder="1"/>
    <xf numFmtId="164" fontId="0" fillId="9" borderId="18" xfId="0" applyNumberFormat="1" applyFill="1" applyBorder="1"/>
    <xf numFmtId="169" fontId="0" fillId="9" borderId="16" xfId="0" applyNumberFormat="1" applyFill="1" applyBorder="1" applyAlignment="1">
      <alignment horizontal="center"/>
    </xf>
    <xf numFmtId="169" fontId="2" fillId="9" borderId="16" xfId="0" applyNumberFormat="1" applyFont="1" applyFill="1" applyBorder="1" applyAlignment="1">
      <alignment horizontal="center"/>
    </xf>
    <xf numFmtId="164" fontId="0" fillId="9" borderId="16" xfId="0" applyNumberFormat="1" applyFill="1" applyBorder="1" applyAlignment="1">
      <alignment horizontal="center"/>
    </xf>
    <xf numFmtId="169" fontId="2" fillId="9" borderId="19" xfId="0" applyNumberFormat="1" applyFont="1" applyFill="1" applyBorder="1" applyAlignment="1">
      <alignment horizontal="center"/>
    </xf>
    <xf numFmtId="0" fontId="5" fillId="10" borderId="14" xfId="0" applyFont="1" applyFill="1" applyBorder="1"/>
    <xf numFmtId="9" fontId="0" fillId="0" borderId="0" xfId="0" applyNumberFormat="1" applyFill="1" applyBorder="1"/>
    <xf numFmtId="164" fontId="2" fillId="0" borderId="0" xfId="0" applyNumberFormat="1" applyFont="1" applyFill="1" applyBorder="1"/>
    <xf numFmtId="0" fontId="2" fillId="9" borderId="16" xfId="0" applyFont="1" applyFill="1" applyBorder="1"/>
    <xf numFmtId="165" fontId="2" fillId="9" borderId="19" xfId="0" applyNumberFormat="1" applyFont="1" applyFill="1" applyBorder="1"/>
    <xf numFmtId="0" fontId="5" fillId="0" borderId="0" xfId="0" applyFont="1" applyFill="1" applyBorder="1" applyAlignment="1">
      <alignment horizontal="center"/>
    </xf>
    <xf numFmtId="44" fontId="0" fillId="0" borderId="0" xfId="4" applyFont="1" applyFill="1" applyBorder="1"/>
    <xf numFmtId="172" fontId="0" fillId="0" borderId="0" xfId="3" applyNumberFormat="1" applyFont="1" applyFill="1" applyBorder="1"/>
    <xf numFmtId="44" fontId="2" fillId="0" borderId="0" xfId="0" applyNumberFormat="1" applyFont="1" applyFill="1" applyBorder="1"/>
    <xf numFmtId="0" fontId="5" fillId="0" borderId="0" xfId="0" applyFont="1" applyFill="1" applyBorder="1" applyAlignment="1">
      <alignment horizontal="center" vertical="center"/>
    </xf>
    <xf numFmtId="0" fontId="0" fillId="0" borderId="0" xfId="0" applyFont="1" applyFill="1" applyAlignment="1">
      <alignment wrapText="1"/>
    </xf>
    <xf numFmtId="166" fontId="0" fillId="0" borderId="0" xfId="0" applyNumberFormat="1" applyFill="1" applyAlignment="1">
      <alignment horizontal="center" vertical="center"/>
    </xf>
    <xf numFmtId="0" fontId="0" fillId="0" borderId="0" xfId="0" applyFill="1" applyBorder="1" applyAlignment="1">
      <alignment vertical="center"/>
    </xf>
    <xf numFmtId="166" fontId="0" fillId="0" borderId="0" xfId="0" applyNumberFormat="1" applyFill="1" applyBorder="1" applyAlignment="1">
      <alignment horizontal="left" vertical="center"/>
    </xf>
    <xf numFmtId="2" fontId="0" fillId="0" borderId="0" xfId="0" applyNumberFormat="1" applyFill="1" applyBorder="1" applyAlignment="1">
      <alignment horizontal="left" vertical="center"/>
    </xf>
    <xf numFmtId="0" fontId="0" fillId="0" borderId="0" xfId="0" applyFill="1" applyAlignment="1">
      <alignment horizontal="center"/>
    </xf>
    <xf numFmtId="10" fontId="0" fillId="9" borderId="0" xfId="1" applyNumberFormat="1" applyFont="1" applyFill="1" applyBorder="1" applyAlignment="1">
      <alignment vertical="center"/>
    </xf>
    <xf numFmtId="2" fontId="0" fillId="9" borderId="0" xfId="0" applyNumberFormat="1" applyFill="1" applyBorder="1" applyAlignment="1">
      <alignment vertical="center"/>
    </xf>
    <xf numFmtId="0" fontId="0" fillId="9" borderId="0" xfId="0" applyFill="1" applyBorder="1" applyAlignment="1">
      <alignment horizontal="center" vertical="center"/>
    </xf>
    <xf numFmtId="2" fontId="0" fillId="9" borderId="16" xfId="0" applyNumberFormat="1" applyFill="1" applyBorder="1" applyAlignment="1">
      <alignment horizontal="left" vertical="center"/>
    </xf>
    <xf numFmtId="10" fontId="0" fillId="9" borderId="18" xfId="1" applyNumberFormat="1" applyFont="1" applyFill="1" applyBorder="1" applyAlignment="1">
      <alignment vertical="center"/>
    </xf>
    <xf numFmtId="167" fontId="0" fillId="9" borderId="0" xfId="1" applyNumberFormat="1" applyFont="1" applyFill="1" applyBorder="1" applyAlignment="1">
      <alignment vertical="center"/>
    </xf>
    <xf numFmtId="167" fontId="0" fillId="9" borderId="0" xfId="0" applyNumberFormat="1" applyFill="1" applyBorder="1" applyAlignment="1">
      <alignment vertical="center"/>
    </xf>
    <xf numFmtId="167" fontId="0" fillId="9" borderId="18" xfId="0" applyNumberFormat="1" applyFill="1" applyBorder="1" applyAlignment="1">
      <alignment vertical="center"/>
    </xf>
    <xf numFmtId="0" fontId="0" fillId="6" borderId="0" xfId="0" applyFont="1" applyFill="1" applyAlignment="1">
      <alignment wrapText="1"/>
    </xf>
    <xf numFmtId="166" fontId="0" fillId="6" borderId="0" xfId="0" applyNumberFormat="1" applyFill="1" applyAlignment="1">
      <alignment horizontal="center" vertical="center"/>
    </xf>
    <xf numFmtId="166" fontId="0" fillId="6" borderId="0" xfId="0" applyNumberFormat="1" applyFill="1" applyAlignment="1">
      <alignment horizontal="center"/>
    </xf>
    <xf numFmtId="164" fontId="0" fillId="6" borderId="0" xfId="0" applyNumberFormat="1" applyFill="1" applyAlignment="1">
      <alignment horizontal="center" vertical="center"/>
    </xf>
    <xf numFmtId="164" fontId="0" fillId="6" borderId="0" xfId="0" applyNumberFormat="1" applyFill="1" applyAlignment="1">
      <alignment horizontal="center"/>
    </xf>
    <xf numFmtId="14" fontId="0" fillId="0" borderId="0" xfId="0" applyNumberFormat="1"/>
    <xf numFmtId="0" fontId="0" fillId="0" borderId="0" xfId="0" applyAlignment="1">
      <alignment wrapText="1"/>
    </xf>
    <xf numFmtId="164" fontId="0" fillId="0" borderId="0" xfId="0" applyNumberFormat="1"/>
    <xf numFmtId="165" fontId="0" fillId="0" borderId="0" xfId="0" applyNumberFormat="1"/>
    <xf numFmtId="165" fontId="0" fillId="0" borderId="0" xfId="0" applyNumberFormat="1" applyAlignment="1">
      <alignment horizontal="center" vertical="center"/>
    </xf>
    <xf numFmtId="14" fontId="0" fillId="0" borderId="0" xfId="0" applyNumberFormat="1" applyAlignment="1">
      <alignment horizontal="center"/>
    </xf>
    <xf numFmtId="0" fontId="0" fillId="0" borderId="0" xfId="0" applyAlignment="1">
      <alignment horizontal="center" wrapText="1"/>
    </xf>
    <xf numFmtId="0" fontId="0" fillId="0" borderId="0" xfId="0" applyNumberFormat="1"/>
    <xf numFmtId="0" fontId="0" fillId="0" borderId="0" xfId="0" quotePrefix="1"/>
    <xf numFmtId="10" fontId="0" fillId="4" borderId="16" xfId="0" applyNumberFormat="1" applyFill="1" applyBorder="1"/>
    <xf numFmtId="9" fontId="0" fillId="4" borderId="16" xfId="0" applyNumberFormat="1" applyFill="1" applyBorder="1"/>
    <xf numFmtId="0" fontId="0" fillId="5" borderId="12" xfId="0" applyFill="1" applyBorder="1"/>
    <xf numFmtId="0" fontId="0" fillId="5" borderId="14" xfId="0" applyFill="1" applyBorder="1"/>
    <xf numFmtId="0" fontId="0" fillId="5" borderId="15" xfId="0" applyFill="1" applyBorder="1"/>
    <xf numFmtId="10" fontId="0" fillId="5" borderId="16" xfId="1" applyNumberFormat="1" applyFont="1" applyFill="1" applyBorder="1"/>
    <xf numFmtId="1" fontId="2" fillId="5" borderId="19" xfId="0" applyNumberFormat="1" applyFont="1" applyFill="1" applyBorder="1"/>
    <xf numFmtId="2" fontId="0" fillId="0" borderId="0" xfId="0" applyNumberFormat="1"/>
    <xf numFmtId="0" fontId="0" fillId="4" borderId="12" xfId="0" applyFill="1" applyBorder="1"/>
    <xf numFmtId="0" fontId="0" fillId="4" borderId="14" xfId="0" applyFill="1" applyBorder="1"/>
    <xf numFmtId="0" fontId="0" fillId="4" borderId="19" xfId="0" applyFill="1" applyBorder="1" applyAlignment="1">
      <alignment horizontal="left"/>
    </xf>
    <xf numFmtId="2" fontId="0" fillId="0" borderId="0" xfId="0" applyNumberFormat="1" applyAlignment="1">
      <alignment horizontal="center"/>
    </xf>
    <xf numFmtId="166" fontId="0" fillId="0" borderId="1" xfId="0" applyNumberFormat="1" applyFont="1" applyFill="1" applyBorder="1" applyAlignment="1">
      <alignment horizontal="center" vertical="center"/>
    </xf>
    <xf numFmtId="0" fontId="0" fillId="0" borderId="20" xfId="0" applyFont="1" applyFill="1" applyBorder="1" applyAlignment="1">
      <alignment horizontal="left" vertical="center"/>
    </xf>
    <xf numFmtId="0" fontId="0" fillId="11" borderId="4" xfId="0" applyFont="1" applyFill="1" applyBorder="1" applyAlignment="1">
      <alignment horizontal="center" vertical="center"/>
    </xf>
    <xf numFmtId="0" fontId="0" fillId="11" borderId="21" xfId="0" applyFont="1" applyFill="1" applyBorder="1" applyAlignment="1">
      <alignment horizontal="center" vertical="center"/>
    </xf>
    <xf numFmtId="10" fontId="0" fillId="0" borderId="0" xfId="0" applyNumberFormat="1" applyBorder="1"/>
    <xf numFmtId="164" fontId="14" fillId="0" borderId="5" xfId="0" applyNumberFormat="1" applyFont="1" applyFill="1" applyBorder="1" applyAlignment="1">
      <alignment horizontal="left" vertical="center"/>
    </xf>
    <xf numFmtId="2" fontId="0" fillId="0" borderId="1" xfId="0" applyNumberFormat="1" applyFont="1" applyFill="1" applyBorder="1" applyAlignment="1">
      <alignment horizontal="center" vertical="center"/>
    </xf>
    <xf numFmtId="167" fontId="14" fillId="0" borderId="2" xfId="1" applyNumberFormat="1" applyFont="1" applyFill="1" applyBorder="1" applyAlignment="1">
      <alignment horizontal="center" vertical="center"/>
    </xf>
    <xf numFmtId="167" fontId="0" fillId="3" borderId="0" xfId="1" applyNumberFormat="1" applyFont="1" applyFill="1"/>
    <xf numFmtId="167" fontId="11" fillId="2" borderId="3" xfId="1" applyNumberFormat="1" applyFont="1" applyFill="1" applyBorder="1" applyAlignment="1">
      <alignment horizontal="center" vertical="center" wrapText="1"/>
    </xf>
    <xf numFmtId="167" fontId="11" fillId="0" borderId="3" xfId="1" applyNumberFormat="1" applyFont="1" applyFill="1" applyBorder="1" applyAlignment="1">
      <alignment horizontal="center" vertical="center" wrapText="1"/>
    </xf>
    <xf numFmtId="168" fontId="0" fillId="0" borderId="0" xfId="0" applyNumberFormat="1" applyFont="1" applyFill="1" applyAlignment="1">
      <alignment horizontal="center" vertical="center"/>
    </xf>
    <xf numFmtId="164" fontId="0" fillId="0" borderId="1" xfId="0" applyNumberFormat="1" applyFont="1" applyFill="1" applyBorder="1" applyAlignment="1">
      <alignment horizontal="center" vertical="center"/>
    </xf>
    <xf numFmtId="169" fontId="0" fillId="0" borderId="21" xfId="0" applyNumberFormat="1" applyFont="1" applyFill="1" applyBorder="1" applyAlignment="1">
      <alignment horizontal="center" vertical="center"/>
    </xf>
    <xf numFmtId="168" fontId="0" fillId="3" borderId="0" xfId="0" applyNumberFormat="1" applyFont="1" applyFill="1"/>
    <xf numFmtId="178" fontId="0" fillId="3" borderId="0" xfId="0" applyNumberFormat="1" applyFont="1" applyFill="1"/>
    <xf numFmtId="0" fontId="11" fillId="2" borderId="3" xfId="0" applyFont="1" applyFill="1" applyBorder="1" applyAlignment="1">
      <alignment horizontal="center" vertical="center" wrapText="1"/>
    </xf>
    <xf numFmtId="0" fontId="0" fillId="9" borderId="15" xfId="0" applyFill="1" applyBorder="1" applyAlignment="1">
      <alignment horizontal="right"/>
    </xf>
    <xf numFmtId="0" fontId="0" fillId="9" borderId="0" xfId="0" applyFill="1" applyBorder="1" applyAlignment="1">
      <alignment horizontal="right"/>
    </xf>
    <xf numFmtId="0" fontId="0" fillId="9" borderId="17" xfId="0" applyFill="1" applyBorder="1" applyAlignment="1">
      <alignment horizontal="right"/>
    </xf>
    <xf numFmtId="0" fontId="5" fillId="8" borderId="13" xfId="0" applyFont="1" applyFill="1" applyBorder="1" applyAlignment="1">
      <alignment horizontal="right"/>
    </xf>
    <xf numFmtId="171" fontId="14" fillId="0" borderId="21" xfId="1" applyNumberFormat="1" applyFont="1" applyFill="1" applyBorder="1" applyAlignment="1">
      <alignment horizontal="center" vertical="center"/>
    </xf>
    <xf numFmtId="0" fontId="5" fillId="8" borderId="13" xfId="0" applyFont="1" applyFill="1" applyBorder="1" applyAlignment="1">
      <alignment horizontal="center"/>
    </xf>
    <xf numFmtId="0" fontId="0" fillId="9" borderId="0" xfId="0" applyFill="1"/>
    <xf numFmtId="0" fontId="5" fillId="8" borderId="22" xfId="0" applyFont="1" applyFill="1" applyBorder="1" applyAlignment="1">
      <alignment horizontal="center"/>
    </xf>
    <xf numFmtId="170" fontId="0" fillId="9" borderId="23" xfId="1" applyNumberFormat="1" applyFont="1" applyFill="1" applyBorder="1" applyAlignment="1">
      <alignment horizontal="center"/>
    </xf>
    <xf numFmtId="170" fontId="0" fillId="9" borderId="24" xfId="1" applyNumberFormat="1" applyFont="1" applyFill="1" applyBorder="1" applyAlignment="1">
      <alignment horizontal="center"/>
    </xf>
    <xf numFmtId="169" fontId="0" fillId="9" borderId="0" xfId="0" applyNumberFormat="1" applyFill="1" applyBorder="1"/>
    <xf numFmtId="169" fontId="0" fillId="9" borderId="18" xfId="0" applyNumberFormat="1" applyFill="1" applyBorder="1"/>
    <xf numFmtId="0" fontId="5" fillId="7" borderId="0" xfId="0" applyFont="1" applyFill="1" applyBorder="1" applyAlignment="1">
      <alignment horizontal="center"/>
    </xf>
    <xf numFmtId="0" fontId="5" fillId="7" borderId="15" xfId="0" applyFont="1" applyFill="1" applyBorder="1" applyAlignment="1">
      <alignment horizontal="center"/>
    </xf>
    <xf numFmtId="0" fontId="5" fillId="7" borderId="16" xfId="0" applyFont="1" applyFill="1" applyBorder="1" applyAlignment="1">
      <alignment horizontal="center"/>
    </xf>
    <xf numFmtId="165" fontId="0" fillId="9" borderId="25" xfId="0" applyNumberFormat="1" applyFill="1" applyBorder="1"/>
    <xf numFmtId="165" fontId="7" fillId="9" borderId="28" xfId="0" applyNumberFormat="1" applyFont="1" applyFill="1" applyBorder="1"/>
    <xf numFmtId="169" fontId="0" fillId="9" borderId="26" xfId="0" applyNumberFormat="1" applyFill="1" applyBorder="1"/>
    <xf numFmtId="0" fontId="5" fillId="8" borderId="29" xfId="0" applyFont="1" applyFill="1" applyBorder="1" applyAlignment="1">
      <alignment horizontal="center"/>
    </xf>
    <xf numFmtId="165" fontId="0" fillId="9" borderId="30" xfId="0" applyNumberFormat="1" applyFill="1" applyBorder="1"/>
    <xf numFmtId="170" fontId="0" fillId="9" borderId="31" xfId="1" applyNumberFormat="1" applyFont="1" applyFill="1" applyBorder="1" applyAlignment="1">
      <alignment horizontal="center"/>
    </xf>
    <xf numFmtId="0" fontId="16" fillId="9" borderId="27" xfId="0" applyFont="1" applyFill="1" applyBorder="1" applyAlignment="1">
      <alignment horizontal="center"/>
    </xf>
    <xf numFmtId="10" fontId="17" fillId="9" borderId="0" xfId="0" applyNumberFormat="1" applyFont="1" applyFill="1" applyBorder="1"/>
    <xf numFmtId="0" fontId="18" fillId="0" borderId="0" xfId="0" quotePrefix="1" applyFont="1"/>
    <xf numFmtId="0" fontId="0" fillId="4" borderId="0" xfId="0" applyFill="1" applyAlignment="1">
      <alignment horizontal="center"/>
    </xf>
    <xf numFmtId="0" fontId="0" fillId="4" borderId="18" xfId="0" applyFill="1" applyBorder="1" applyAlignment="1">
      <alignment horizontal="center"/>
    </xf>
    <xf numFmtId="0" fontId="0" fillId="4" borderId="19" xfId="0" applyFill="1" applyBorder="1" applyAlignment="1">
      <alignment horizontal="center"/>
    </xf>
    <xf numFmtId="0" fontId="0" fillId="12" borderId="0" xfId="0" applyFill="1"/>
    <xf numFmtId="171" fontId="0" fillId="9" borderId="18" xfId="1" applyNumberFormat="1" applyFont="1" applyFill="1" applyBorder="1" applyAlignment="1">
      <alignment vertical="center"/>
    </xf>
    <xf numFmtId="0" fontId="2" fillId="4" borderId="0" xfId="0" applyFont="1" applyFill="1"/>
    <xf numFmtId="0" fontId="2" fillId="4" borderId="0" xfId="0" applyFont="1" applyFill="1" applyAlignment="1">
      <alignment wrapText="1"/>
    </xf>
    <xf numFmtId="0" fontId="2" fillId="9" borderId="0" xfId="0" applyFont="1" applyFill="1"/>
    <xf numFmtId="0" fontId="0" fillId="9" borderId="0" xfId="0" quotePrefix="1" applyFill="1" applyAlignment="1">
      <alignment wrapText="1"/>
    </xf>
    <xf numFmtId="0" fontId="0" fillId="9" borderId="0" xfId="0" applyFill="1" applyAlignment="1">
      <alignment wrapText="1"/>
    </xf>
    <xf numFmtId="0" fontId="0" fillId="0" borderId="0" xfId="0" quotePrefix="1" applyAlignment="1">
      <alignment wrapText="1"/>
    </xf>
    <xf numFmtId="10" fontId="14"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0" fontId="19" fillId="0" borderId="11" xfId="0" applyFont="1" applyBorder="1" applyAlignment="1">
      <alignment horizontal="left" wrapText="1"/>
    </xf>
    <xf numFmtId="0" fontId="2" fillId="2" borderId="6"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8" xfId="0" applyFont="1" applyFill="1" applyBorder="1" applyAlignment="1">
      <alignment horizontal="center" wrapText="1"/>
    </xf>
    <xf numFmtId="0" fontId="2" fillId="2" borderId="9" xfId="0" applyFont="1" applyFill="1" applyBorder="1" applyAlignment="1">
      <alignment horizontal="center" wrapText="1"/>
    </xf>
    <xf numFmtId="0" fontId="4" fillId="2" borderId="6" xfId="0" applyFont="1" applyFill="1" applyBorder="1" applyAlignment="1">
      <alignment horizontal="center" wrapText="1"/>
    </xf>
    <xf numFmtId="0" fontId="4" fillId="2" borderId="7" xfId="0" applyFont="1" applyFill="1" applyBorder="1" applyAlignment="1">
      <alignment horizontal="center" wrapText="1"/>
    </xf>
    <xf numFmtId="0" fontId="3" fillId="3" borderId="8" xfId="2" applyFill="1" applyBorder="1" applyAlignment="1">
      <alignment horizontal="center" wrapText="1"/>
    </xf>
    <xf numFmtId="0" fontId="3" fillId="3" borderId="9" xfId="2" applyFill="1" applyBorder="1" applyAlignment="1">
      <alignment horizontal="center" wrapText="1"/>
    </xf>
    <xf numFmtId="0" fontId="2" fillId="2" borderId="2" xfId="0" applyFont="1" applyFill="1" applyBorder="1" applyAlignment="1">
      <alignment horizontal="center" wrapText="1"/>
    </xf>
    <xf numFmtId="0" fontId="2" fillId="2" borderId="2" xfId="0" applyFont="1" applyFill="1" applyBorder="1" applyAlignment="1">
      <alignment horizontal="center" vertical="top" wrapText="1"/>
    </xf>
    <xf numFmtId="0" fontId="11" fillId="2" borderId="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0" fillId="0" borderId="2" xfId="0" applyFont="1" applyFill="1" applyBorder="1" applyAlignment="1">
      <alignment horizontal="left"/>
    </xf>
    <xf numFmtId="0" fontId="11" fillId="2" borderId="3" xfId="0" applyFont="1" applyFill="1" applyBorder="1" applyAlignment="1">
      <alignment horizontal="center" vertical="center" wrapText="1"/>
    </xf>
    <xf numFmtId="0" fontId="0" fillId="3" borderId="2" xfId="0" applyFont="1" applyFill="1" applyBorder="1" applyAlignment="1">
      <alignment horizontal="left"/>
    </xf>
    <xf numFmtId="0" fontId="9" fillId="2" borderId="7" xfId="0" applyFont="1" applyFill="1" applyBorder="1" applyAlignment="1">
      <alignment horizontal="center" vertical="center" wrapText="1"/>
    </xf>
    <xf numFmtId="0" fontId="5" fillId="0" borderId="0" xfId="0" applyFont="1" applyFill="1" applyBorder="1" applyAlignment="1">
      <alignment horizontal="center"/>
    </xf>
    <xf numFmtId="0" fontId="5" fillId="10" borderId="12" xfId="0" applyFont="1" applyFill="1" applyBorder="1" applyAlignment="1">
      <alignment horizontal="center"/>
    </xf>
    <xf numFmtId="0" fontId="5" fillId="10" borderId="14" xfId="0" applyFont="1" applyFill="1" applyBorder="1" applyAlignment="1">
      <alignment horizontal="center"/>
    </xf>
    <xf numFmtId="0" fontId="5" fillId="10" borderId="13" xfId="0" applyFont="1" applyFill="1" applyBorder="1" applyAlignment="1">
      <alignment horizontal="center"/>
    </xf>
    <xf numFmtId="0" fontId="7" fillId="9" borderId="15" xfId="0" applyFont="1" applyFill="1" applyBorder="1" applyAlignment="1">
      <alignment horizontal="right"/>
    </xf>
    <xf numFmtId="0" fontId="7" fillId="9" borderId="0" xfId="0" applyFont="1" applyFill="1" applyBorder="1" applyAlignment="1">
      <alignment horizontal="right"/>
    </xf>
    <xf numFmtId="0" fontId="0" fillId="9" borderId="15" xfId="0" applyFill="1" applyBorder="1" applyAlignment="1">
      <alignment horizontal="right"/>
    </xf>
    <xf numFmtId="0" fontId="0" fillId="9" borderId="0" xfId="0" applyFill="1" applyBorder="1" applyAlignment="1">
      <alignment horizontal="right"/>
    </xf>
    <xf numFmtId="0" fontId="0" fillId="9" borderId="17" xfId="0" applyFill="1" applyBorder="1" applyAlignment="1">
      <alignment horizontal="right"/>
    </xf>
    <xf numFmtId="0" fontId="0" fillId="9" borderId="18" xfId="0" applyFill="1" applyBorder="1" applyAlignment="1">
      <alignment horizontal="right"/>
    </xf>
    <xf numFmtId="0" fontId="5" fillId="7" borderId="12" xfId="0" applyFont="1" applyFill="1" applyBorder="1" applyAlignment="1">
      <alignment horizontal="center"/>
    </xf>
    <xf numFmtId="0" fontId="5" fillId="7" borderId="13" xfId="0" applyFont="1" applyFill="1" applyBorder="1" applyAlignment="1">
      <alignment horizontal="center"/>
    </xf>
    <xf numFmtId="0" fontId="5" fillId="7" borderId="14" xfId="0" applyFont="1" applyFill="1" applyBorder="1" applyAlignment="1">
      <alignment horizontal="center"/>
    </xf>
    <xf numFmtId="0" fontId="5" fillId="8" borderId="12" xfId="0" applyFont="1" applyFill="1" applyBorder="1" applyAlignment="1">
      <alignment horizontal="right"/>
    </xf>
    <xf numFmtId="0" fontId="5" fillId="8" borderId="13" xfId="0" applyFont="1" applyFill="1" applyBorder="1" applyAlignment="1">
      <alignment horizontal="right"/>
    </xf>
    <xf numFmtId="0" fontId="7" fillId="9" borderId="26" xfId="0" applyFont="1" applyFill="1" applyBorder="1" applyAlignment="1">
      <alignment horizontal="right"/>
    </xf>
    <xf numFmtId="0" fontId="5" fillId="7" borderId="12" xfId="0" applyFont="1" applyFill="1" applyBorder="1" applyAlignment="1">
      <alignment horizontal="center" vertical="center"/>
    </xf>
    <xf numFmtId="0" fontId="5" fillId="7" borderId="13" xfId="0" applyFont="1" applyFill="1" applyBorder="1" applyAlignment="1">
      <alignment horizontal="center" vertical="center"/>
    </xf>
    <xf numFmtId="0" fontId="5" fillId="7" borderId="14" xfId="0" applyFont="1" applyFill="1" applyBorder="1" applyAlignment="1">
      <alignment horizontal="center" vertical="center"/>
    </xf>
  </cellXfs>
  <cellStyles count="5">
    <cellStyle name="Comma" xfId="3" builtinId="3"/>
    <cellStyle name="Currency" xfId="4" builtinId="4"/>
    <cellStyle name="Hyperlink" xfId="2" builtinId="8"/>
    <cellStyle name="Normal" xfId="0" builtinId="0"/>
    <cellStyle name="Percent" xfId="1" builtinId="5"/>
  </cellStyles>
  <dxfs count="116">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theme="5" tint="-0.24994659260841701"/>
      </font>
    </dxf>
    <dxf>
      <font>
        <color rgb="FFFF0000"/>
      </font>
    </dxf>
    <dxf>
      <font>
        <color rgb="FFFF0000"/>
      </font>
    </dxf>
    <dxf>
      <font>
        <b/>
        <i val="0"/>
        <color theme="5" tint="-0.24994659260841701"/>
      </font>
    </dxf>
    <dxf>
      <font>
        <color rgb="FFFF0000"/>
      </font>
    </dxf>
    <dxf>
      <font>
        <color rgb="FFFF0000"/>
      </font>
    </dxf>
    <dxf>
      <numFmt numFmtId="14" formatCode="0.00%"/>
    </dxf>
    <dxf>
      <numFmt numFmtId="165" formatCode="0.000"/>
      <alignment horizontal="center" vertical="center" textRotation="0" wrapText="0" indent="0" justifyLastLine="0" shrinkToFit="0" readingOrder="0"/>
    </dxf>
    <dxf>
      <alignment horizontal="center" vertical="center" textRotation="0" wrapText="0" indent="0" justifyLastLine="0" shrinkToFit="0" readingOrder="0"/>
    </dxf>
    <dxf>
      <numFmt numFmtId="165" formatCode="0.000"/>
      <alignment horizontal="center" vertical="center" textRotation="0" wrapText="0" indent="0" justifyLastLine="0" shrinkToFit="0" readingOrder="0"/>
    </dxf>
    <dxf>
      <numFmt numFmtId="165" formatCode="0.000"/>
    </dxf>
    <dxf>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19" formatCode="m/d/yyyy"/>
    </dxf>
    <dxf>
      <alignment horizontal="center" vertical="bottom" textRotation="0" wrapText="1" indent="0" justifyLastLine="0" shrinkToFit="0" readingOrder="0"/>
    </dxf>
    <dxf>
      <numFmt numFmtId="2" formatCode="0.00"/>
      <alignment horizontal="center" vertical="bottom" textRotation="0" wrapText="0" indent="0" justifyLastLine="0" shrinkToFit="0" readingOrder="0"/>
    </dxf>
    <dxf>
      <numFmt numFmtId="2" formatCode="0.00"/>
    </dxf>
    <dxf>
      <numFmt numFmtId="2" formatCode="0.00"/>
    </dxf>
    <dxf>
      <numFmt numFmtId="2" formatCode="0.00"/>
    </dxf>
    <dxf>
      <numFmt numFmtId="164" formatCode="0.0000"/>
    </dxf>
    <dxf>
      <numFmt numFmtId="19" formatCode="m/d/yyyy"/>
    </dxf>
    <dxf>
      <alignment vertical="bottom" textRotation="0" wrapText="1"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dxf>
    <dxf>
      <numFmt numFmtId="15" formatCode="0.00E+00"/>
    </dxf>
    <dxf>
      <numFmt numFmtId="15" formatCode="0.00E+00"/>
    </dxf>
    <dxf>
      <numFmt numFmtId="15" formatCode="0.00E+00"/>
    </dxf>
    <dxf>
      <numFmt numFmtId="174" formatCode="0.00000%"/>
    </dxf>
    <dxf>
      <numFmt numFmtId="174" formatCode="0.00000%"/>
    </dxf>
    <dxf>
      <alignment horizontal="center" vertical="bottom"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0.0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0.0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8" tint="-0.249977111117893"/>
        <name val="Calibri"/>
        <family val="2"/>
        <scheme val="minor"/>
      </font>
      <numFmt numFmtId="171" formatCode="0.000%"/>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theme="8" tint="-0.249977111117893"/>
        <name val="Calibri"/>
        <family val="2"/>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8" tint="-0.249977111117893"/>
        <name val="Calibri"/>
        <family val="2"/>
        <scheme val="minor"/>
      </font>
      <numFmt numFmtId="166"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theme="8" tint="-0.249977111117893"/>
        <name val="Calibri"/>
        <family val="2"/>
        <scheme val="minor"/>
      </font>
      <numFmt numFmtId="165" formatCode="0.000"/>
      <fill>
        <patternFill patternType="none">
          <fgColor indexed="64"/>
          <bgColor auto="1"/>
        </patternFill>
      </fill>
      <alignment horizontal="left" vertical="center" textRotation="0" wrapText="0" indent="0" justifyLastLine="0" shrinkToFit="0" readingOrder="0"/>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1"/>
        <color theme="8" tint="-0.249977111117893"/>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8" tint="-0.249977111117893"/>
        <name val="Calibri"/>
        <family val="2"/>
        <scheme val="minor"/>
      </font>
      <numFmt numFmtId="166" formatCode="0.0"/>
      <fill>
        <patternFill patternType="none">
          <fgColor indexed="64"/>
          <bgColor auto="1"/>
        </patternFill>
      </fill>
      <alignment horizontal="right" vertical="center" textRotation="0" wrapText="0" indent="0" justifyLastLine="0" shrinkToFit="0" readingOrder="0"/>
      <border diagonalUp="0" diagonalDown="0">
        <left/>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8" tint="-0.249977111117893"/>
        <name val="Calibri"/>
        <family val="2"/>
        <scheme val="minor"/>
      </font>
      <numFmt numFmtId="167" formatCode="0.0000%"/>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8" tint="-0.249977111117893"/>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1"/>
        <color theme="4"/>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8" tint="-0.249977111117893"/>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8" tint="-0.249977111117893"/>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border outline="0">
        <left style="thin">
          <color indexed="64"/>
        </left>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general" vertical="bottom" textRotation="0" wrapText="1" indent="0" justifyLastLine="0" shrinkToFit="0" readingOrder="0"/>
    </dxf>
    <dxf>
      <font>
        <strike val="0"/>
        <outline val="0"/>
        <shadow val="0"/>
        <u val="none"/>
        <vertAlign val="baseline"/>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indexed="65"/>
        </patternFill>
      </fill>
      <alignment horizontal="center" vertical="center" textRotation="0" wrapText="0" indent="0" justifyLastLine="0" shrinkToFit="0" readingOrder="0"/>
    </dxf>
    <dxf>
      <font>
        <strike val="0"/>
        <outline val="0"/>
        <shadow val="0"/>
        <u val="none"/>
        <vertAlign val="baseline"/>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name val="Calibri"/>
        <family val="2"/>
        <scheme val="minor"/>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indexed="65"/>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indexed="65"/>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6" formatCode="0.0"/>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1"/>
        <color theme="8" tint="-0.249977111117893"/>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8" tint="-0.249977111117893"/>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8" tint="-0.249977111117893"/>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8" tint="-0.249977111117893"/>
        <name val="Calibri"/>
        <family val="2"/>
        <scheme val="minor"/>
      </font>
      <numFmt numFmtId="166" formatCode="0.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strike val="0"/>
        <outline val="0"/>
        <shadow val="0"/>
        <u val="none"/>
        <vertAlign val="baseline"/>
        <sz val="11"/>
        <color theme="8" tint="-0.249977111117893"/>
        <name val="Calibri"/>
        <family val="2"/>
        <scheme val="minor"/>
      </font>
      <numFmt numFmtId="164" formatCode="0.0000"/>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border>
    </dxf>
    <dxf>
      <font>
        <b val="0"/>
        <i val="0"/>
        <strike val="0"/>
        <condense val="0"/>
        <extend val="0"/>
        <outline val="0"/>
        <shadow val="0"/>
        <u val="none"/>
        <vertAlign val="baseline"/>
        <sz val="11"/>
        <color theme="8" tint="-0.249977111117893"/>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strike val="0"/>
        <outline val="0"/>
        <shadow val="0"/>
        <u val="none"/>
        <vertAlign val="baseline"/>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style="thin">
          <color indexed="64"/>
        </horizontal>
      </border>
    </dxf>
    <dxf>
      <font>
        <strike val="0"/>
        <outline val="0"/>
        <shadow val="0"/>
        <u val="none"/>
        <vertAlign val="baseline"/>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style="thin">
          <color indexed="64"/>
        </top>
        <bottom style="thin">
          <color indexed="64"/>
        </bottom>
      </border>
    </dxf>
    <dxf>
      <font>
        <strike val="0"/>
        <outline val="0"/>
        <shadow val="0"/>
        <u val="none"/>
        <vertAlign val="baseline"/>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dxf>
    <dxf>
      <font>
        <strike val="0"/>
        <outline val="0"/>
        <shadow val="0"/>
        <u val="none"/>
        <vertAlign val="baseline"/>
        <name val="Calibri"/>
        <family val="2"/>
        <scheme val="minor"/>
      </font>
      <numFmt numFmtId="166" formatCode="0.0"/>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strike val="0"/>
        <outline val="0"/>
        <shadow val="0"/>
        <u val="none"/>
        <vertAlign val="baseline"/>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strike val="0"/>
        <outline val="0"/>
        <shadow val="0"/>
        <u val="none"/>
        <vertAlign val="baseline"/>
        <name val="Calibri"/>
        <family val="2"/>
        <scheme val="minor"/>
      </font>
      <numFmt numFmtId="166" formatCode="0.0"/>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strike val="0"/>
        <outline val="0"/>
        <shadow val="0"/>
        <u val="none"/>
        <vertAlign val="baseline"/>
        <name val="Calibri"/>
        <family val="2"/>
        <scheme val="minor"/>
      </font>
      <numFmt numFmtId="166" formatCode="0.0"/>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strike val="0"/>
        <outline val="0"/>
        <shadow val="0"/>
        <u val="none"/>
        <vertAlign val="baseline"/>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left style="thin">
          <color rgb="FF000000"/>
        </left>
      </border>
    </dxf>
    <dxf>
      <font>
        <strike val="0"/>
        <outline val="0"/>
        <shadow val="0"/>
        <u val="none"/>
        <vertAlign val="baseline"/>
        <name val="Calibri"/>
        <family val="2"/>
        <scheme val="none"/>
      </font>
      <fill>
        <patternFill patternType="none">
          <fgColor rgb="FF000000"/>
          <bgColor auto="1"/>
        </patternFill>
      </fill>
      <alignment horizontal="center"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dxf>
  </dxfs>
  <tableStyles count="0" defaultTableStyle="TableStyleMedium2" defaultPivotStyle="PivotStyleLight16"/>
  <colors>
    <mruColors>
      <color rgb="FFF5F5FF"/>
      <color rgb="FFE6E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v>"Average"</c:v>
          </c:tx>
          <c:spPr>
            <a:ln w="19050" cap="rnd">
              <a:solidFill>
                <a:schemeClr val="accent4"/>
              </a:solidFill>
              <a:round/>
            </a:ln>
            <a:effectLst/>
          </c:spPr>
          <c:marker>
            <c:symbol val="none"/>
          </c:marker>
          <c:val>
            <c:numRef>
              <c:f>SPC!$D$3:$D$28</c:f>
              <c:numCache>
                <c:formatCode>0.00</c:formatCode>
                <c:ptCount val="26"/>
                <c:pt idx="0">
                  <c:v>10.01884285768293</c:v>
                </c:pt>
                <c:pt idx="1">
                  <c:v>10.01884285768293</c:v>
                </c:pt>
                <c:pt idx="2">
                  <c:v>10.01884285768293</c:v>
                </c:pt>
                <c:pt idx="3">
                  <c:v>10.01884285768293</c:v>
                </c:pt>
                <c:pt idx="4">
                  <c:v>10.01884285768293</c:v>
                </c:pt>
                <c:pt idx="5">
                  <c:v>10.01884285768293</c:v>
                </c:pt>
                <c:pt idx="6">
                  <c:v>10.01884285768293</c:v>
                </c:pt>
                <c:pt idx="7">
                  <c:v>10.01884285768293</c:v>
                </c:pt>
                <c:pt idx="8">
                  <c:v>10.01884285768293</c:v>
                </c:pt>
                <c:pt idx="9">
                  <c:v>10.01884285768293</c:v>
                </c:pt>
                <c:pt idx="10">
                  <c:v>10.01884285768293</c:v>
                </c:pt>
                <c:pt idx="11">
                  <c:v>10.01884285768293</c:v>
                </c:pt>
                <c:pt idx="12">
                  <c:v>10.01884285768293</c:v>
                </c:pt>
                <c:pt idx="13">
                  <c:v>10.01884285768293</c:v>
                </c:pt>
                <c:pt idx="14">
                  <c:v>10.01884285768293</c:v>
                </c:pt>
                <c:pt idx="15">
                  <c:v>10.01884285768293</c:v>
                </c:pt>
                <c:pt idx="16">
                  <c:v>10.01884285768293</c:v>
                </c:pt>
                <c:pt idx="17">
                  <c:v>10.01884285768293</c:v>
                </c:pt>
                <c:pt idx="18">
                  <c:v>10.01884285768293</c:v>
                </c:pt>
                <c:pt idx="19">
                  <c:v>10.01884285768293</c:v>
                </c:pt>
                <c:pt idx="20">
                  <c:v>10.01884285768293</c:v>
                </c:pt>
                <c:pt idx="21">
                  <c:v>10.01884285768293</c:v>
                </c:pt>
                <c:pt idx="22">
                  <c:v>10.01884285768293</c:v>
                </c:pt>
                <c:pt idx="23">
                  <c:v>10.01884285768293</c:v>
                </c:pt>
                <c:pt idx="24">
                  <c:v>10.01884285768293</c:v>
                </c:pt>
                <c:pt idx="25">
                  <c:v>10.01884285768293</c:v>
                </c:pt>
              </c:numCache>
            </c:numRef>
          </c:val>
          <c:smooth val="0"/>
          <c:extLst>
            <c:ext xmlns:c16="http://schemas.microsoft.com/office/drawing/2014/chart" uri="{C3380CC4-5D6E-409C-BE32-E72D297353CC}">
              <c16:uniqueId val="{00000001-A4D7-4F06-B6F3-7B1DC0E371EE}"/>
            </c:ext>
          </c:extLst>
        </c:ser>
        <c:ser>
          <c:idx val="2"/>
          <c:order val="1"/>
          <c:tx>
            <c:v>"Upper Limit"</c:v>
          </c:tx>
          <c:spPr>
            <a:ln w="19050" cap="rnd">
              <a:solidFill>
                <a:schemeClr val="accent2">
                  <a:lumMod val="75000"/>
                </a:schemeClr>
              </a:solidFill>
              <a:round/>
            </a:ln>
            <a:effectLst/>
          </c:spPr>
          <c:marker>
            <c:symbol val="none"/>
          </c:marker>
          <c:val>
            <c:numRef>
              <c:f>SPC!$F$3:$F$28</c:f>
              <c:numCache>
                <c:formatCode>0.00</c:formatCode>
                <c:ptCount val="26"/>
                <c:pt idx="0">
                  <c:v>10.673997495591969</c:v>
                </c:pt>
                <c:pt idx="1">
                  <c:v>10.673997495591969</c:v>
                </c:pt>
                <c:pt idx="2">
                  <c:v>10.673997495591969</c:v>
                </c:pt>
                <c:pt idx="3">
                  <c:v>10.673997495591969</c:v>
                </c:pt>
                <c:pt idx="4">
                  <c:v>10.673997495591969</c:v>
                </c:pt>
                <c:pt idx="5">
                  <c:v>10.673997495591969</c:v>
                </c:pt>
                <c:pt idx="6">
                  <c:v>10.673997495591969</c:v>
                </c:pt>
                <c:pt idx="7">
                  <c:v>10.673997495591969</c:v>
                </c:pt>
                <c:pt idx="8">
                  <c:v>10.673997495591969</c:v>
                </c:pt>
                <c:pt idx="9">
                  <c:v>10.673997495591969</c:v>
                </c:pt>
                <c:pt idx="10">
                  <c:v>10.673997495591969</c:v>
                </c:pt>
                <c:pt idx="11">
                  <c:v>10.673997495591969</c:v>
                </c:pt>
                <c:pt idx="12">
                  <c:v>10.673997495591969</c:v>
                </c:pt>
                <c:pt idx="13">
                  <c:v>10.673997495591969</c:v>
                </c:pt>
                <c:pt idx="14">
                  <c:v>10.673997495591969</c:v>
                </c:pt>
                <c:pt idx="15">
                  <c:v>10.673997495591969</c:v>
                </c:pt>
                <c:pt idx="16">
                  <c:v>10.673997495591969</c:v>
                </c:pt>
                <c:pt idx="17">
                  <c:v>10.673997495591969</c:v>
                </c:pt>
                <c:pt idx="18">
                  <c:v>10.673997495591969</c:v>
                </c:pt>
                <c:pt idx="19">
                  <c:v>10.673997495591969</c:v>
                </c:pt>
                <c:pt idx="20">
                  <c:v>10.673997495591969</c:v>
                </c:pt>
                <c:pt idx="21">
                  <c:v>10.673997495591969</c:v>
                </c:pt>
                <c:pt idx="22">
                  <c:v>10.673997495591969</c:v>
                </c:pt>
                <c:pt idx="23">
                  <c:v>10.673997495591969</c:v>
                </c:pt>
                <c:pt idx="24">
                  <c:v>10.673997495591969</c:v>
                </c:pt>
                <c:pt idx="25">
                  <c:v>10.673997495591969</c:v>
                </c:pt>
              </c:numCache>
            </c:numRef>
          </c:val>
          <c:smooth val="0"/>
          <c:extLst>
            <c:ext xmlns:c16="http://schemas.microsoft.com/office/drawing/2014/chart" uri="{C3380CC4-5D6E-409C-BE32-E72D297353CC}">
              <c16:uniqueId val="{00000002-A4D7-4F06-B6F3-7B1DC0E371EE}"/>
            </c:ext>
          </c:extLst>
        </c:ser>
        <c:ser>
          <c:idx val="3"/>
          <c:order val="2"/>
          <c:tx>
            <c:v>"Lower Limit"</c:v>
          </c:tx>
          <c:spPr>
            <a:ln w="19050" cap="rnd">
              <a:solidFill>
                <a:schemeClr val="accent2">
                  <a:lumMod val="75000"/>
                </a:schemeClr>
              </a:solidFill>
              <a:round/>
            </a:ln>
            <a:effectLst/>
          </c:spPr>
          <c:marker>
            <c:symbol val="none"/>
          </c:marker>
          <c:val>
            <c:numRef>
              <c:f>SPC!$E$3:$E$28</c:f>
              <c:numCache>
                <c:formatCode>0.00</c:formatCode>
                <c:ptCount val="26"/>
                <c:pt idx="0">
                  <c:v>9.3636882197738913</c:v>
                </c:pt>
                <c:pt idx="1">
                  <c:v>9.3636882197738913</c:v>
                </c:pt>
                <c:pt idx="2">
                  <c:v>9.3636882197738913</c:v>
                </c:pt>
                <c:pt idx="3">
                  <c:v>9.3636882197738913</c:v>
                </c:pt>
                <c:pt idx="4">
                  <c:v>9.3636882197738913</c:v>
                </c:pt>
                <c:pt idx="5">
                  <c:v>9.3636882197738913</c:v>
                </c:pt>
                <c:pt idx="6">
                  <c:v>9.3636882197738913</c:v>
                </c:pt>
                <c:pt idx="7">
                  <c:v>9.3636882197738913</c:v>
                </c:pt>
                <c:pt idx="8">
                  <c:v>9.3636882197738913</c:v>
                </c:pt>
                <c:pt idx="9">
                  <c:v>9.3636882197738913</c:v>
                </c:pt>
                <c:pt idx="10">
                  <c:v>9.3636882197738913</c:v>
                </c:pt>
                <c:pt idx="11">
                  <c:v>9.3636882197738913</c:v>
                </c:pt>
                <c:pt idx="12">
                  <c:v>9.3636882197738913</c:v>
                </c:pt>
                <c:pt idx="13">
                  <c:v>9.3636882197738913</c:v>
                </c:pt>
                <c:pt idx="14">
                  <c:v>9.3636882197738913</c:v>
                </c:pt>
                <c:pt idx="15">
                  <c:v>9.3636882197738913</c:v>
                </c:pt>
                <c:pt idx="16">
                  <c:v>9.3636882197738913</c:v>
                </c:pt>
                <c:pt idx="17">
                  <c:v>9.3636882197738913</c:v>
                </c:pt>
                <c:pt idx="18">
                  <c:v>9.3636882197738913</c:v>
                </c:pt>
                <c:pt idx="19">
                  <c:v>9.3636882197738913</c:v>
                </c:pt>
                <c:pt idx="20">
                  <c:v>9.3636882197738913</c:v>
                </c:pt>
                <c:pt idx="21">
                  <c:v>9.3636882197738913</c:v>
                </c:pt>
                <c:pt idx="22">
                  <c:v>9.3636882197738913</c:v>
                </c:pt>
                <c:pt idx="23">
                  <c:v>9.3636882197738913</c:v>
                </c:pt>
                <c:pt idx="24">
                  <c:v>9.3636882197738913</c:v>
                </c:pt>
                <c:pt idx="25">
                  <c:v>9.3636882197738913</c:v>
                </c:pt>
              </c:numCache>
            </c:numRef>
          </c:val>
          <c:smooth val="0"/>
          <c:extLst>
            <c:ext xmlns:c16="http://schemas.microsoft.com/office/drawing/2014/chart" uri="{C3380CC4-5D6E-409C-BE32-E72D297353CC}">
              <c16:uniqueId val="{00000003-A4D7-4F06-B6F3-7B1DC0E371EE}"/>
            </c:ext>
          </c:extLst>
        </c:ser>
        <c:ser>
          <c:idx val="0"/>
          <c:order val="3"/>
          <c:tx>
            <c:v>"Measured Values"</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SPC!$B$3:$B$29</c:f>
              <c:numCache>
                <c:formatCode>m/d/yyyy</c:formatCode>
                <c:ptCount val="27"/>
                <c:pt idx="0">
                  <c:v>45658</c:v>
                </c:pt>
                <c:pt idx="1">
                  <c:v>45659</c:v>
                </c:pt>
                <c:pt idx="2">
                  <c:v>45660</c:v>
                </c:pt>
                <c:pt idx="3">
                  <c:v>45661</c:v>
                </c:pt>
                <c:pt idx="4">
                  <c:v>45662</c:v>
                </c:pt>
                <c:pt idx="5">
                  <c:v>45663</c:v>
                </c:pt>
                <c:pt idx="6">
                  <c:v>45664</c:v>
                </c:pt>
                <c:pt idx="7">
                  <c:v>45665</c:v>
                </c:pt>
                <c:pt idx="8">
                  <c:v>45666</c:v>
                </c:pt>
                <c:pt idx="9">
                  <c:v>45667</c:v>
                </c:pt>
                <c:pt idx="10">
                  <c:v>45668</c:v>
                </c:pt>
                <c:pt idx="11">
                  <c:v>45669</c:v>
                </c:pt>
                <c:pt idx="12">
                  <c:v>45670</c:v>
                </c:pt>
                <c:pt idx="13">
                  <c:v>45671</c:v>
                </c:pt>
                <c:pt idx="14">
                  <c:v>45672</c:v>
                </c:pt>
                <c:pt idx="15">
                  <c:v>45673</c:v>
                </c:pt>
                <c:pt idx="16">
                  <c:v>45674</c:v>
                </c:pt>
                <c:pt idx="17">
                  <c:v>45675</c:v>
                </c:pt>
                <c:pt idx="18">
                  <c:v>45676</c:v>
                </c:pt>
                <c:pt idx="19">
                  <c:v>45677</c:v>
                </c:pt>
                <c:pt idx="20">
                  <c:v>45678</c:v>
                </c:pt>
                <c:pt idx="21">
                  <c:v>45679</c:v>
                </c:pt>
                <c:pt idx="22">
                  <c:v>45680</c:v>
                </c:pt>
                <c:pt idx="23">
                  <c:v>45681</c:v>
                </c:pt>
                <c:pt idx="24">
                  <c:v>45682</c:v>
                </c:pt>
                <c:pt idx="25">
                  <c:v>45683</c:v>
                </c:pt>
              </c:numCache>
            </c:numRef>
          </c:cat>
          <c:val>
            <c:numRef>
              <c:f>SPC!$C$3:$C$29</c:f>
              <c:numCache>
                <c:formatCode>0.0000</c:formatCode>
                <c:ptCount val="27"/>
                <c:pt idx="0">
                  <c:v>10.295556366977912</c:v>
                </c:pt>
                <c:pt idx="1">
                  <c:v>9.9319826905568682</c:v>
                </c:pt>
                <c:pt idx="2">
                  <c:v>10.212999568839253</c:v>
                </c:pt>
                <c:pt idx="3">
                  <c:v>9.9751069042060987</c:v>
                </c:pt>
                <c:pt idx="4">
                  <c:v>10.131177660744584</c:v>
                </c:pt>
                <c:pt idx="5">
                  <c:v>10.480883884740054</c:v>
                </c:pt>
                <c:pt idx="6">
                  <c:v>10.202730552171888</c:v>
                </c:pt>
                <c:pt idx="7">
                  <c:v>9.8118327828971328</c:v>
                </c:pt>
                <c:pt idx="8">
                  <c:v>9.9699926061992254</c:v>
                </c:pt>
                <c:pt idx="9">
                  <c:v>9.8931377629392276</c:v>
                </c:pt>
                <c:pt idx="10">
                  <c:v>10.366260301555101</c:v>
                </c:pt>
                <c:pt idx="11">
                  <c:v>9.4771711313338809</c:v>
                </c:pt>
                <c:pt idx="12">
                  <c:v>9.9424653926582156</c:v>
                </c:pt>
                <c:pt idx="13">
                  <c:v>10.03612775456709</c:v>
                </c:pt>
                <c:pt idx="14">
                  <c:v>9.7603203045565525</c:v>
                </c:pt>
                <c:pt idx="15">
                  <c:v>10.188732931728623</c:v>
                </c:pt>
                <c:pt idx="16">
                  <c:v>10.013068332450349</c:v>
                </c:pt>
                <c:pt idx="17">
                  <c:v>9.9492649924790086</c:v>
                </c:pt>
                <c:pt idx="18">
                  <c:v>10.019900446847869</c:v>
                </c:pt>
                <c:pt idx="19">
                  <c:v>9.769892868040996</c:v>
                </c:pt>
                <c:pt idx="20">
                  <c:v>10.086149627084318</c:v>
                </c:pt>
                <c:pt idx="21">
                  <c:v>9.9189550578836627</c:v>
                </c:pt>
                <c:pt idx="22">
                  <c:v>9.9183113218113466</c:v>
                </c:pt>
                <c:pt idx="23">
                  <c:v>10.297182032393824</c:v>
                </c:pt>
                <c:pt idx="24">
                  <c:v>10.067567930799566</c:v>
                </c:pt>
                <c:pt idx="25">
                  <c:v>9.7731430932935321</c:v>
                </c:pt>
              </c:numCache>
            </c:numRef>
          </c:val>
          <c:smooth val="0"/>
          <c:extLst>
            <c:ext xmlns:c16="http://schemas.microsoft.com/office/drawing/2014/chart" uri="{C3380CC4-5D6E-409C-BE32-E72D297353CC}">
              <c16:uniqueId val="{00000000-A4D7-4F06-B6F3-7B1DC0E371EE}"/>
            </c:ext>
          </c:extLst>
        </c:ser>
        <c:dLbls>
          <c:showLegendKey val="0"/>
          <c:showVal val="0"/>
          <c:showCatName val="0"/>
          <c:showSerName val="0"/>
          <c:showPercent val="0"/>
          <c:showBubbleSize val="0"/>
        </c:dLbls>
        <c:smooth val="0"/>
        <c:axId val="303132080"/>
        <c:axId val="303137840"/>
      </c:lineChart>
      <c:catAx>
        <c:axId val="30313208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3137840"/>
        <c:crosses val="autoZero"/>
        <c:auto val="1"/>
        <c:lblAlgn val="ctr"/>
        <c:lblOffset val="100"/>
        <c:noMultiLvlLbl val="0"/>
      </c:catAx>
      <c:valAx>
        <c:axId val="3031378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3132080"/>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460374</xdr:colOff>
      <xdr:row>6</xdr:row>
      <xdr:rowOff>92074</xdr:rowOff>
    </xdr:from>
    <xdr:to>
      <xdr:col>18</xdr:col>
      <xdr:colOff>114299</xdr:colOff>
      <xdr:row>31</xdr:row>
      <xdr:rowOff>44450</xdr:rowOff>
    </xdr:to>
    <xdr:graphicFrame macro="">
      <xdr:nvGraphicFramePr>
        <xdr:cNvPr id="3" name="Chart 2">
          <a:extLst>
            <a:ext uri="{FF2B5EF4-FFF2-40B4-BE49-F238E27FC236}">
              <a16:creationId xmlns:a16="http://schemas.microsoft.com/office/drawing/2014/main" id="{B98D16B5-9266-BD09-DA3F-FD0FB08DA8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06253D-156D-4F90-8517-C4C5373D68BF}" name="TURMAP2" displayName="TURMAP2" ref="B9:AG15" totalsRowShown="0" headerRowDxfId="115" dataDxfId="114" tableBorderDxfId="113">
  <autoFilter ref="B9:AG15" xr:uid="{757901D5-37A8-4899-994E-C65FCA59124A}"/>
  <tableColumns count="32">
    <tableColumn id="1" xr3:uid="{100510D9-3CEC-4FB4-8F08-2382D84D126F}" name="Name" dataDxfId="112"/>
    <tableColumn id="2" xr3:uid="{4351A02F-47E1-4AAD-86F7-8275BFEA2989}" name="Requirement" dataDxfId="111"/>
    <tableColumn id="3" xr3:uid="{2C4FA01B-92C8-4C1B-9FBA-F114B7A4D300}" name="Criticality" dataDxfId="110"/>
    <tableColumn id="4" xr3:uid="{1D5DC807-C2A0-4F79-9719-B4AFD161199C}" name="Expected" dataDxfId="109"/>
    <tableColumn id="5" xr3:uid="{DCCCE046-A0AC-410D-9824-E100B711F582}" name="Tolerance" dataDxfId="108"/>
    <tableColumn id="6" xr3:uid="{879185BF-9F3C-4E6C-9A26-5E521DFEE227}" name="TolType" dataDxfId="107"/>
    <tableColumn id="7" xr3:uid="{D0331064-C60F-46EE-BE23-68594A86C439}" name="ToleranceB" dataDxfId="106"/>
    <tableColumn id="8" xr3:uid="{7C5705E9-01DA-4C1B-B3E8-C837C041983F}" name="Units" dataDxfId="105"/>
    <tableColumn id="10" xr3:uid="{993E5BD8-CC3D-4C4F-A4DE-FA3C1C858E3B}" name="Equipment" dataDxfId="104"/>
    <tableColumn id="31" xr3:uid="{02731018-CA15-4693-BA9A-5D81361F528E}" name="Range" dataDxfId="103"/>
    <tableColumn id="11" xr3:uid="{0E530229-7B80-4DF5-9F7B-FD16FDF02B38}" name="±" dataDxfId="102"/>
    <tableColumn id="17" xr3:uid="{298771DC-4654-4F7B-AC67-B553E8637851}" name="Accuracy" dataDxfId="101"/>
    <tableColumn id="34" xr3:uid="{C25EE1BB-91C2-4C18-9280-59F742CADBD7}" name="MTEReliability" dataDxfId="100" dataCellStyle="Percent">
      <calculatedColumnFormula array="1">_xlfn.LET(_xlpm.equiprel, _xlfn.XLOOKUP(1, (EquipmentSpecs[Equipment/Function]=TURMAP2[Equipment])*(EquipmentSpecs[Range Name]=TURMAP2[Range]), EquipmentSpecs[Reliability], 0),
    IF(_xlpm.equiprel&gt;0,
        _xlpm.equiprel,
        0.9545
    )
)</calculatedColumnFormula>
    </tableColumn>
    <tableColumn id="18" xr3:uid="{E405CE74-EC2A-4000-8A4E-5429A2769414}" name="TypeA" dataDxfId="99"/>
    <tableColumn id="30" xr3:uid="{630E3E9E-6EBA-4D91-B8BE-E7F4EAA3F063}" name="OtherUnc" dataDxfId="98"/>
    <tableColumn id="12" xr3:uid="{4965D943-510A-4F2F-B540-95B50420B79B}" name="Uncertainty" dataDxfId="97">
      <calculatedColumnFormula array="1">_xlfn.LET(
    _xlpm.mtestd, SIGMA_FROM_ITP(0,-TURMAP2[[#This Row],[Accuracy]],TURMAP2[[#This Row],[Accuracy]],TURMAP2[[#This Row],[MTEReliability]]),
    _xlpm.accuracy, IF(ISNUMBER(_xlpm.mtestd), 2*_xlpm.mtestd, 0),
    SQRT(SUMSQ(_xlpm.accuracy, TURMAP2[[#This Row],[TypeA]], TURMAP2[[#This Row],[OtherUnc]]))
)</calculatedColumnFormula>
    </tableColumn>
    <tableColumn id="13" xr3:uid="{A7216B2F-6C2C-475E-82F7-FC6A2EE25CEB}" name="MeasUnits" dataDxfId="96"/>
    <tableColumn id="15" xr3:uid="{227980F1-B4DC-4066-A3DA-8020C8B038A7}" name="TUR" dataDxfId="95">
      <calculatedColumnFormula array="1">IF(TURMAP2[[#This Row],[TolType]]&lt;&gt;"",TUR(TURMAP2[[#This Row],[Tolerance]],TURMAP2[[#This Row],[TolType]],TURMAP2[[#This Row],[ToleranceB]],TURMAP2[[#This Row],[Uncertainty]],TURMAP2[[#This Row],[Expected]]),"")</calculatedColumnFormula>
    </tableColumn>
    <tableColumn id="28" xr3:uid="{1B4BDE78-B87D-4689-8900-54EA22AFD676}" name="Accept1" dataDxfId="94">
      <calculatedColumnFormula array="1">TOL_DISPLAY_1(TURMAP2[[#This Row],[AL]],TURMAP2[[#This Row],[AU]],TURMAP2[[#This Row],[TolType]])</calculatedColumnFormula>
    </tableColumn>
    <tableColumn id="27" xr3:uid="{61C318EE-FFC3-4C0A-B5C1-E6083903B7ED}" name="AcceptType" dataDxfId="93">
      <calculatedColumnFormula>IF(TURMAP2[[#This Row],[TolType]]&lt;&gt;"",TURMAP2[[#This Row],[TolType]],"")</calculatedColumnFormula>
    </tableColumn>
    <tableColumn id="16" xr3:uid="{DF80055D-227A-454C-9A1F-C7BD826D87C6}" name="Accept2" dataDxfId="92">
      <calculatedColumnFormula array="1">IF(TURMAP2[[#This Row],[TolType]]&lt;&gt;"", TOL_DISPLAY_2(TURMAP2[[#This Row],[AL]],TURMAP2[[#This Row],[AU]],TURMAP2[[#This Row],[TolType]]), "")</calculatedColumnFormula>
    </tableColumn>
    <tableColumn id="29" xr3:uid="{64BFE971-9423-4A1F-BAB9-D9C38592097E}" name="Accept3" dataDxfId="91"/>
    <tableColumn id="33" xr3:uid="{046C3019-1B5D-4621-B9C7-518708BB7056}" name="SPC" dataDxfId="90"/>
    <tableColumn id="32" xr3:uid="{BFDFB5BF-E19B-47D8-B2B8-D192A0C13BEC}" name="ProfTest" dataDxfId="89"/>
    <tableColumn id="19" xr3:uid="{4F3AA41B-F3C1-407B-B602-EF4EAAA8146C}" name="Comments" dataDxfId="88"/>
    <tableColumn id="20" xr3:uid="{03D0EFD6-A99B-43F5-B6D4-0D6B24D165BA}" name="…." dataDxfId="87"/>
    <tableColumn id="21" xr3:uid="{F0B09592-7C41-4C53-BDCF-3E1E684EECE7}" name="TL" dataDxfId="86">
      <calculatedColumnFormula array="1">TOL_LOWER_LIMIT(TURMAP2[[#This Row],[Tolerance]],TURMAP2[[#This Row],[TolType]],TURMAP2[[#This Row],[ToleranceB]])</calculatedColumnFormula>
    </tableColumn>
    <tableColumn id="22" xr3:uid="{71FB7484-91E4-4325-9DB3-8326D29381AE}" name="TU" dataDxfId="85">
      <calculatedColumnFormula array="1">TOL_UPPER_LIMIT(TURMAP2[[#This Row],[Tolerance]],TURMAP2[[#This Row],[TolType]],TURMAP2[[#This Row],[ToleranceB]])</calculatedColumnFormula>
    </tableColumn>
    <tableColumn id="9" xr3:uid="{EB15B305-7A7B-4346-84CE-B68D237AAE08}" name="Guardband" dataDxfId="84">
      <calculatedColumnFormula array="1">GB_NEEDED("RDS",TURMAP2[[#This Row],[TUR]],0,TURMAP2[[#This Row],[Criticality]])</calculatedColumnFormula>
    </tableColumn>
    <tableColumn id="25" xr3:uid="{D2969676-C41F-4B0A-8154-02274F19B1E5}" name="GBW" dataDxfId="83">
      <calculatedColumnFormula array="1">IF(TURMAP2[[#This Row],[Guardband]],GBW_RDS(TURMAP2[[#This Row],[TUR]],TURMAP2[[#This Row],[Uncertainty]],TURMAP2[[#This Row],[TL]],TURMAP2[[#This Row],[TU]]),0)</calculatedColumnFormula>
    </tableColumn>
    <tableColumn id="26" xr3:uid="{608A352A-14F2-47F6-8DA1-F626EE7C50DE}" name="AL" dataDxfId="82">
      <calculatedColumnFormula>TURMAP2[[#This Row],[TL]]+TURMAP2[[#This Row],[GBW]]</calculatedColumnFormula>
    </tableColumn>
    <tableColumn id="23" xr3:uid="{B4CC895F-AA5C-4947-89FA-680A38F6922E}" name="AU" dataDxfId="81">
      <calculatedColumnFormula>TURMAP2[[#This Row],[TU]]-TURMAP2[[#This Row],[GBW]]</calculatedColumnFormula>
    </tableColumn>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444EC61-1453-4058-BA04-F6C5D755DE1F}" name="PFAMAP" displayName="PFAMAP" ref="B9:AN16" totalsRowShown="0" headerRowDxfId="80" dataDxfId="79" tableBorderDxfId="78">
  <autoFilter ref="B9:AN16" xr:uid="{5444EC61-1453-4058-BA04-F6C5D755DE1F}"/>
  <tableColumns count="39">
    <tableColumn id="1" xr3:uid="{69E8AC87-2B2D-4796-80B9-A84D6C4380C9}" name="Quantity" dataDxfId="77"/>
    <tableColumn id="2" xr3:uid="{6141D4A5-4ECB-4DEF-AF73-BFFFBA9A5913}" name="Requirement" dataDxfId="76"/>
    <tableColumn id="3" xr3:uid="{AF765D9B-5CA4-4CFB-B522-0905306AA715}" name="Criticality" dataDxfId="75"/>
    <tableColumn id="4" xr3:uid="{D66166AF-1330-4F5F-A5CF-E1EFC6F888FA}" name="Expected" dataDxfId="74"/>
    <tableColumn id="5" xr3:uid="{A67E711B-A239-416D-9AFE-4EF97F5E6A64}" name="TolA" dataDxfId="73"/>
    <tableColumn id="6" xr3:uid="{AE167920-828E-4676-A09B-24D4691B7602}" name="TolType" dataDxfId="72"/>
    <tableColumn id="7" xr3:uid="{ED5ED8BA-8524-4CF8-8AF3-1D45D3520B5F}" name="TolB" dataDxfId="71"/>
    <tableColumn id="8" xr3:uid="{38235E6E-5D09-4F7C-A8D0-0BFC8D211C8B}" name="Units" dataDxfId="70"/>
    <tableColumn id="9" xr3:uid="{9D293F91-2BBF-4D7D-9EDA-7008A024C984}" name="ITP" dataDxfId="69"/>
    <tableColumn id="11" xr3:uid="{102CFDB9-FB64-4D83-8AB8-596457449773}" name="Equipment" dataDxfId="68"/>
    <tableColumn id="37" xr3:uid="{13510675-2501-4B7B-B197-D6C64F93581A}" name="Range" dataDxfId="67"/>
    <tableColumn id="12" xr3:uid="{CEBE9516-712A-42D2-A4DF-FACCF1007922}" name="±" dataDxfId="66"/>
    <tableColumn id="40" xr3:uid="{3CA5E0C1-8358-4F45-ADC9-72B826B30804}" name="Accuracy" dataDxfId="65">
      <calculatedColumnFormula array="1">_xlfn.LET(_xlpm.equip,EQUIPMENT_LOOKUP(PFAMAP[[#This Row],[Equipment]],PFAMAP[[#This Row],[Range]],PFAMAP[[#This Row],[Expected]]),IF(_xlpm.equip&gt;0,_xlpm.equip,_xlfn.XLOOKUP(PFAMAP[[#This Row],[Equipment]],PFAMAP[Quantity],PFAMAP[stdev]*2,0)))</calculatedColumnFormula>
    </tableColumn>
    <tableColumn id="48" xr3:uid="{C4531C20-3F88-4B53-A9A7-96459A1E99A4}" name="MTEReliability" dataDxfId="64"/>
    <tableColumn id="39" xr3:uid="{857B0432-7D7A-48E9-8894-BEAB2F03759A}" name="TypeA" dataDxfId="63"/>
    <tableColumn id="38" xr3:uid="{28D03145-38C5-4B78-B5CA-73209FC3955A}" name="OtherUnc" dataDxfId="62"/>
    <tableColumn id="13" xr3:uid="{0A9092BE-E36B-48B7-BEF1-B9F6FAE6B80D}" name="Uncertainty" dataDxfId="61"/>
    <tableColumn id="14" xr3:uid="{05413C98-4325-4843-957B-6B078340563D}" name="MeasUnits" dataDxfId="60"/>
    <tableColumn id="16" xr3:uid="{393168E3-3FC7-4BAD-BC12-8352001FE8D8}" name="TUR" dataDxfId="59">
      <calculatedColumnFormula array="1">TUR(PFAMAP[[#This Row],[TolA]],PFAMAP[[#This Row],[TolType]],PFAMAP[[#This Row],[TolB]],PFAMAP[[#This Row],[Uncertainty]],PFAMAP[[#This Row],[Expected]])</calculatedColumnFormula>
    </tableColumn>
    <tableColumn id="15" xr3:uid="{68ABF3C5-B28A-451A-BD95-E95CE3F294AE}" name="PFA" dataDxfId="58" dataCellStyle="Percent">
      <calculatedColumnFormula array="1">PFA(PFAMAP[[#This Row],[TL]],PFAMAP[[#This Row],[TU]],PFAMAP[[#This Row],[TL]],PFAMAP[[#This Row],[TU]],PFAMAP[[#This Row],[Expected]],PFAMAP[[#This Row],[Uncertainty]]/2,PFAMAP[[#This Row],[stdev]])</calculatedColumnFormula>
    </tableColumn>
    <tableColumn id="18" xr3:uid="{E0B888E0-75F2-4976-9D46-F31E42F6E816}" name="Gbmethod" dataDxfId="57"/>
    <tableColumn id="19" xr3:uid="{291F9A2D-E491-4AA1-A896-254D71B86250}" name="AcceptA" dataDxfId="56">
      <calculatedColumnFormula array="1">IF(ISBLANK(PFAMAP[[#This Row],[GBOverride]]), TOL_DISPLAY_1(PFAMAP[[#This Row],[AL]],PFAMAP[[#This Row],[AU]],PFAMAP[[#This Row],[TolType]]),PFAMAP[[#This Row],[TolA]])</calculatedColumnFormula>
    </tableColumn>
    <tableColumn id="20" xr3:uid="{FBB5E186-8E43-40CD-9DA0-6993013875E8}" name="AcceptType" dataDxfId="55">
      <calculatedColumnFormula>PFAMAP[[#This Row],[TolType]]</calculatedColumnFormula>
    </tableColumn>
    <tableColumn id="21" xr3:uid="{A5A98D8F-E630-40EB-9847-2CE69E116218}" name="AcceptB" dataDxfId="54">
      <calculatedColumnFormula array="1">IF(ISBLANK(PFAMAP[[#This Row],[GBOverride]]), TOL_DISPLAY_2(PFAMAP[[#This Row],[AL]],PFAMAP[[#This Row],[AU]],PFAMAP[[#This Row],[TolType]]), PFAMAP[[#This Row],[TolB]])</calculatedColumnFormula>
    </tableColumn>
    <tableColumn id="10" xr3:uid="{5927F8B5-3D04-439A-A4A2-C859DBFEAE72}" name="GBOverride" dataDxfId="53"/>
    <tableColumn id="29" xr3:uid="{117533B7-3957-4747-9833-6D08EE31361F}" name="PFAgb" dataDxfId="52" dataCellStyle="Percent">
      <calculatedColumnFormula array="1">IF(PFAMAP[[#This Row],[Guardband]], PFA(PFAMAP[[#This Row],[TL]],PFAMAP[[#This Row],[TU]],PFAMAP[[#This Row],[AL]],PFAMAP[[#This Row],[AU]],PFAMAP[[#This Row],[Expected]],PFAMAP[[#This Row],[Uncertainty]]/2,PFAMAP[[#This Row],[stdev]]), PFAMAP[[#This Row],[PFA]])</calculatedColumnFormula>
    </tableColumn>
    <tableColumn id="28" xr3:uid="{C53B4BBC-BCF1-439E-95F1-8758E528B84B}" name="PFR" dataDxfId="51" dataCellStyle="Percent">
      <calculatedColumnFormula array="1">PFR(PFAMAP[[#This Row],[TL]],PFAMAP[[#This Row],[TU]],PFAMAP[[#This Row],[AL]],PFAMAP[[#This Row],[AU]],PFAMAP[[#This Row],[Expected]],PFAMAP[[#This Row],[Uncertainty]]/2,PFAMAP[[#This Row],[stdev]])</calculatedColumnFormula>
    </tableColumn>
    <tableColumn id="45" xr3:uid="{FA2DB553-D747-4044-A589-F306BA0C9F2A}" name="Calibrate" dataDxfId="50" dataCellStyle="Percent"/>
    <tableColumn id="46" xr3:uid="{C3D3E9B5-74D9-40D1-8846-CA3B94F81615}" name="SPC" dataDxfId="49" dataCellStyle="Percent"/>
    <tableColumn id="36" xr3:uid="{FE05C8A1-7B0A-41BA-9FA5-D33541C7C866}" name="ProfTest" dataDxfId="48" dataCellStyle="Percent"/>
    <tableColumn id="23" xr3:uid="{D55DA408-1C78-4683-94C0-1D01689B96EE}" name="Comments" dataDxfId="47"/>
    <tableColumn id="24" xr3:uid="{C6A2B0F4-4755-487F-BE3C-497E87B7ADBB}" name="…" dataDxfId="46"/>
    <tableColumn id="25" xr3:uid="{4D8BC0F4-BE53-4D16-BC70-402EA002C0F5}" name="TL" dataDxfId="45">
      <calculatedColumnFormula array="1">TOL_LOWER_LIMIT(PFAMAP[[#This Row],[TolA]],PFAMAP[[#This Row],[TolType]],PFAMAP[[#This Row],[TolB]])</calculatedColumnFormula>
    </tableColumn>
    <tableColumn id="26" xr3:uid="{A70E1D68-E622-4EEF-AE60-858D0491CFA4}" name="TU" dataDxfId="44">
      <calculatedColumnFormula array="1">TOL_UPPER_LIMIT(PFAMAP[[#This Row],[TolA]],PFAMAP[[#This Row],[TolType]],PFAMAP[[#This Row],[TolB]])</calculatedColumnFormula>
    </tableColumn>
    <tableColumn id="27" xr3:uid="{7A6ADC34-C0C8-40B2-BEAA-9D75E972FA6F}" name="stdev" dataDxfId="43">
      <calculatedColumnFormula array="1">SIGMA_FROM_ITP(PFAMAP[[#This Row],[Expected]],PFAMAP[[#This Row],[TL]],PFAMAP[[#This Row],[TU]],PFAMAP[[#This Row],[ITP]])</calculatedColumnFormula>
    </tableColumn>
    <tableColumn id="35" xr3:uid="{470230FA-7459-4724-95B0-7FC0878F5140}" name="Guardband" dataDxfId="42">
      <calculatedColumnFormula array="1">GB_NEEDED(PFAMAP[[#This Row],[Gbmethod]],PFAMAP[[#This Row],[TUR]],PFAMAP[[#This Row],[PFA]],PFAMAP[[#This Row],[Criticality]])</calculatedColumnFormula>
    </tableColumn>
    <tableColumn id="34" xr3:uid="{0A2741A1-C4BD-4532-AA5D-97E695F1F9A3}" name="GBW" dataDxfId="41">
      <calculatedColumnFormula array="1">IF(OR(PFAMAP[[#This Row],[Guardband]],PFAMAP[[#This Row],[GBOverride]]),
    IF(ISBLANK(PFAMAP[[#This Row],[GBOverride]]),
       GB_WIDTH(PFAMAP[[#This Row],[Gbmethod]],PFAMAP[[#This Row],[TUR]],PFAMAP[[#This Row],[TL]],PFAMAP[[#This Row],[TU]],PFAMAP[[#This Row],[Expected]],PFAMAP[[#This Row],[Uncertainty]],PFAMAP[[#This Row],[stdev]],PFAMAP[[#This Row],[Criticality]]),
       PFAMAP[[#This Row],[TU]]-TOL_UPPER_LIMIT(PFAMAP[[#This Row],[AcceptA]],PFAMAP[[#This Row],[AcceptType]],PFAMAP[[#This Row],[AcceptB]])
    ),
    0
)</calculatedColumnFormula>
    </tableColumn>
    <tableColumn id="30" xr3:uid="{8BD47691-BBD9-4620-AC65-62D35DDFCF2A}" name="AL" dataDxfId="40">
      <calculatedColumnFormula>PFAMAP[[#This Row],[TL]]+PFAMAP[[#This Row],[GBW]]</calculatedColumnFormula>
    </tableColumn>
    <tableColumn id="31" xr3:uid="{31616FC9-0376-4067-B568-063B6FB53294}" name="AU" dataDxfId="39">
      <calculatedColumnFormula>PFAMAP[[#This Row],[TU]]-PFAMAP[[#This Row],[GBW]]</calculatedColumnFormula>
    </tableColumn>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53846F5-1018-44F1-85AC-6D5CDB792E87}" name="EquipmentSpecs" displayName="EquipmentSpecs" ref="B2:L15" totalsRowShown="0" headerRowDxfId="38" tableBorderDxfId="37">
  <autoFilter ref="B2:L15" xr:uid="{E53846F5-1018-44F1-85AC-6D5CDB792E87}"/>
  <tableColumns count="11">
    <tableColumn id="1" xr3:uid="{5083E4DA-2993-4390-AA11-FB1DA459CBA5}" name="Equipment/Function"/>
    <tableColumn id="3" xr3:uid="{72EA1C33-6F4B-4E58-8B38-CCBFB0C10FCB}" name="Range Name"/>
    <tableColumn id="11" xr3:uid="{ABF201DD-227D-4469-9B45-AE62F92349AD}" name="Range Max" dataDxfId="36"/>
    <tableColumn id="4" xr3:uid="{773CF1FD-69EB-4752-A341-0AE89468FF1B}" name="%Reading" dataDxfId="35"/>
    <tableColumn id="5" xr3:uid="{75DA9DE1-2388-4DE5-A5EA-6CCAE71FD397}" name="%Range" dataDxfId="34"/>
    <tableColumn id="6" xr3:uid="{C69FED34-2E02-4E9D-BC96-9DAD7C11AD70}" name="Constant"/>
    <tableColumn id="7" xr3:uid="{BB8D1C94-EA3E-4439-A84B-6C783CE8F1A2}" name="Resolution" dataDxfId="33"/>
    <tableColumn id="12" xr3:uid="{13DF5977-E94F-4241-886C-D966D559BC19}" name="Other1" dataDxfId="32"/>
    <tableColumn id="8" xr3:uid="{C04CD573-7124-453C-9445-44D98EBBE1D9}" name="Other2"/>
    <tableColumn id="2" xr3:uid="{CC5BAED5-646B-4A3E-B243-2A70388C0273}" name="Reliability"/>
    <tableColumn id="10" xr3:uid="{465C361F-CFDA-4E50-880D-167D28F12863}" name="Combined Constant" dataDxfId="31">
      <calculatedColumnFormula>SQRT((EquipmentSpecs[[#This Row],[Range Max]]*EquipmentSpecs[[#This Row],[%Range]]+EquipmentSpecs[[#This Row],[Constant]])^2+EquipmentSpecs[[#This Row],[Resolution]]^2/3+EquipmentSpecs[[#This Row],[Other2]]^2/2+EquipmentSpecs[[#This Row],[Other1]]^2/2)</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92F90A9-114E-465D-A9AC-C7A3142322CB}" name="IntervalHistory" displayName="IntervalHistory" ref="B5:G22" totalsRowShown="0">
  <autoFilter ref="B5:G22" xr:uid="{292F90A9-114E-465D-A9AC-C7A3142322CB}">
    <filterColumn colId="0" hiddenButton="1"/>
    <filterColumn colId="1" hiddenButton="1"/>
    <filterColumn colId="2" hiddenButton="1"/>
    <filterColumn colId="3" hiddenButton="1"/>
    <filterColumn colId="4" hiddenButton="1"/>
    <filterColumn colId="5" hiddenButton="1"/>
  </autoFilter>
  <tableColumns count="6">
    <tableColumn id="5" xr3:uid="{D4ED95C5-9D13-48FB-A4A7-F47F168CC2EA}" name="Asset"/>
    <tableColumn id="6" xr3:uid="{1DF888D3-A6DC-4FBD-BE76-AC9275BC21D6}" name="Workorder" dataDxfId="30"/>
    <tableColumn id="1" xr3:uid="{491B6825-7763-418B-9185-8FEA87507B47}" name="Start Date" dataDxfId="29"/>
    <tableColumn id="2" xr3:uid="{548ABD4A-4B8B-4A2D-B350-B2A31F9DA7B0}" name="End Date" dataDxfId="28"/>
    <tableColumn id="3" xr3:uid="{E069DD77-336D-4ECA-97A0-4EF177886BC2}" name="Interval Length" dataDxfId="27">
      <calculatedColumnFormula>IntervalHistory[[#This Row],[End Date]]-IntervalHistory[[#This Row],[Start Date]]</calculatedColumnFormula>
    </tableColumn>
    <tableColumn id="4" xr3:uid="{282A97E2-9B78-4CAF-BEDC-AF2BCC3D7F8D}" name="IT(1)/OOT(0)"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7EA4673-8F3A-49D0-AA9C-A1FA3AE32099}" name="ControlChart" displayName="ControlChart" ref="B2:G28" totalsRowShown="0" headerRowDxfId="25">
  <autoFilter ref="B2:G28" xr:uid="{07EA4673-8F3A-49D0-AA9C-A1FA3AE32099}">
    <filterColumn colId="0" hiddenButton="1"/>
    <filterColumn colId="1" hiddenButton="1"/>
    <filterColumn colId="2" hiddenButton="1"/>
    <filterColumn colId="3" hiddenButton="1"/>
    <filterColumn colId="4" hiddenButton="1"/>
    <filterColumn colId="5" hiddenButton="1"/>
  </autoFilter>
  <tableColumns count="6">
    <tableColumn id="1" xr3:uid="{07FDCFD4-B911-4A7D-AE78-9DEBC2681643}" name="Date/Time" dataDxfId="24"/>
    <tableColumn id="2" xr3:uid="{BA6E9AF9-1C8D-4E36-B995-72C40595F4A3}" name="Measured Value" dataDxfId="23"/>
    <tableColumn id="3" xr3:uid="{CA681B7F-F957-48E7-8314-2E867ACD14A6}" name="Average" dataDxfId="22">
      <calculatedColumnFormula>AVERAGE(ControlChart[Measured Value])</calculatedColumnFormula>
    </tableColumn>
    <tableColumn id="4" xr3:uid="{7790E2B2-1BFD-40F8-83E2-35429832648C}" name="Lower Limit" dataDxfId="21">
      <calculatedColumnFormula>ControlChart[[#This Row],[Average]]-$J$11</calculatedColumnFormula>
    </tableColumn>
    <tableColumn id="5" xr3:uid="{E42944AA-B479-4E3E-966B-D740544187FB}" name="Upper Limit" dataDxfId="20">
      <calculatedColumnFormula>ControlChart[[#This Row],[Average]]+$J$11</calculatedColumnFormula>
    </tableColumn>
    <tableColumn id="6" xr3:uid="{62C1FA70-9F13-44BF-80E8-1925B6CA73B9}" name="Exceed Limit?" dataDxfId="19">
      <calculatedColumnFormula>IF(OR(ControlChart[[#This Row],[Measured Value]]&lt;ControlChart[[#This Row],[Lower Limit]],ControlChart[[#This Row],[Measured Value]]&gt;ControlChart[[#This Row],[Upper Limit]]),"X","")</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642EA5D-06EC-4FE7-BEE2-7E43DB19236E}" name="ProfTestTable" displayName="ProfTestTable" ref="B7:L11" headerRowDxfId="18">
  <autoFilter ref="B7:L11" xr:uid="{E642EA5D-06EC-4FE7-BEE2-7E43DB19236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AE941C06-4537-4AD6-ACEC-D3304D4342F3}" name="Test Date" totalsRowLabel="Total" dataDxfId="17"/>
    <tableColumn id="2" xr3:uid="{435E994B-C8C3-48F3-B934-3E53FB72D893}" name="Participating Lab ID" dataDxfId="16" totalsRowDxfId="15"/>
    <tableColumn id="3" xr3:uid="{E0B7E06A-FEE2-4D78-B62A-6F6710B49DAF}" name="Nominal Value"/>
    <tableColumn id="4" xr3:uid="{C4BE3FF6-5CE5-4C49-A88E-123B20EEA0C2}" name="Units"/>
    <tableColumn id="5" xr3:uid="{95A4D0B9-B45B-45DB-B44E-B95BDE3C5F7B}" name="Measured Value"/>
    <tableColumn id="6" xr3:uid="{0C0D335A-5C79-40B6-A2D9-0F3E40D55439}" name="Measured Uncertainty (k=2)"/>
    <tableColumn id="7" xr3:uid="{4E1C6F67-10D6-4133-85DA-29B99A191AF3}" name="External Lab's Measured Value"/>
    <tableColumn id="8" xr3:uid="{D943FD1F-C292-4309-8500-4F28EE406097}" name="External Lab's Measured Uncertainty (k=2)"/>
    <tableColumn id="10" xr3:uid="{570C201A-F3B9-49AC-8A96-7BC3B4640798}" name="Normalized_x000a_Error En" dataDxfId="14">
      <calculatedColumnFormula>IF(AND(ProfTestTable[[#This Row],[Measured Uncertainty (k=2)]]&gt;0,ProfTestTable[[#This Row],[External Lab''s Measured Uncertainty (k=2)]]&gt;0),(ProfTestTable[[#This Row],[Measured Value]]-ProfTestTable[[#This Row],[External Lab''s Measured Value]])/SQRT(SUMSQ(ProfTestTable[[#This Row],[Measured Uncertainty (k=2)]],ProfTestTable[[#This Row],[External Lab''s Measured Uncertainty (k=2)]])),"")</calculatedColumnFormula>
    </tableColumn>
    <tableColumn id="9" xr3:uid="{16E58034-0D20-4A0A-81F5-2AB94F86B313}" name="Pass/Fail" totalsRowFunction="count" dataDxfId="13" totalsRowDxfId="12">
      <calculatedColumnFormula>IF(ProfTestTable[[#This Row],[Normalized
Error En]]&lt;&gt;"", ABS(ProfTestTable[[#This Row],[Normalized
Error En]]), "")</calculatedColumnFormula>
    </tableColumn>
    <tableColumn id="11" xr3:uid="{2E6E2653-ADA8-46B4-AA3A-4B796027ABE3}" name="Notes" dataDxfId="11"/>
  </tableColumns>
  <tableStyleInfo name="TableStyleMedium16"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29D8EB3-8C94-47FC-A854-29C180631AC0}" name="CriticalityLevels" displayName="CriticalityLevels" ref="B2:D8" totalsRowShown="0">
  <autoFilter ref="B2:D8" xr:uid="{929D8EB3-8C94-47FC-A854-29C180631AC0}"/>
  <tableColumns count="3">
    <tableColumn id="1" xr3:uid="{0254770D-E3E5-4088-B443-FD54DA1A18A6}" name="Level"/>
    <tableColumn id="2" xr3:uid="{B008DBBD-AB3E-4023-BAB0-B9C9C26BF1C2}" name="MaxPfa" dataDxfId="10" dataCellStyle="Percent"/>
    <tableColumn id="3" xr3:uid="{1CA3F2B4-44AC-4D43-BB97-8D0272B4D033}" name="MinTu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9623F5E-8593-40D4-8B9E-35D62CA6B13C}" name="TolTypes" displayName="TolTypes" ref="A1:A5" totalsRowShown="0">
  <autoFilter ref="A1:A5" xr:uid="{A9623F5E-8593-40D4-8B9E-35D62CA6B13C}"/>
  <tableColumns count="1">
    <tableColumn id="1" xr3:uid="{224571F3-255B-48EE-8862-D41EF0BBFAC7}" name="Tolerance Types"/>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A60BF80-E7C2-496B-BC0A-2DB597D9ACDA}" name="GBmethods" displayName="GBmethods" ref="B1:B3" totalsRowShown="0">
  <autoFilter ref="B1:B3" xr:uid="{7A60BF80-E7C2-496B-BC0A-2DB597D9ACDA}"/>
  <tableColumns count="1">
    <tableColumn id="1" xr3:uid="{1977BDC3-1303-411F-BC35-E70CDDABF4AE}" name="Guardband Methods"/>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uncertainty@sandia.gov"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table" Target="../tables/table8.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1B6F1-546A-4BAD-A64D-7A177712A51F}">
  <dimension ref="B1:D53"/>
  <sheetViews>
    <sheetView tabSelected="1" workbookViewId="0">
      <selection activeCell="B4" sqref="B4:C4"/>
    </sheetView>
  </sheetViews>
  <sheetFormatPr defaultColWidth="9.1796875" defaultRowHeight="14.5" x14ac:dyDescent="0.35"/>
  <cols>
    <col min="1" max="1" width="0.81640625" style="2" customWidth="1"/>
    <col min="2" max="2" width="23.7265625" style="5" customWidth="1"/>
    <col min="3" max="3" width="100.81640625" style="5" customWidth="1"/>
    <col min="4" max="16384" width="9.1796875" style="2"/>
  </cols>
  <sheetData>
    <row r="1" spans="2:4" ht="5.25" customHeight="1" x14ac:dyDescent="0.35"/>
    <row r="2" spans="2:4" ht="27" customHeight="1" x14ac:dyDescent="0.45">
      <c r="B2" s="332" t="s">
        <v>41</v>
      </c>
      <c r="C2" s="333"/>
    </row>
    <row r="3" spans="2:4" ht="18.75" customHeight="1" x14ac:dyDescent="0.35">
      <c r="B3" s="330" t="s">
        <v>498</v>
      </c>
      <c r="C3" s="331"/>
    </row>
    <row r="4" spans="2:4" ht="20.25" customHeight="1" x14ac:dyDescent="0.35">
      <c r="B4" s="334" t="s">
        <v>42</v>
      </c>
      <c r="C4" s="335"/>
    </row>
    <row r="5" spans="2:4" ht="127.5" customHeight="1" x14ac:dyDescent="0.35">
      <c r="B5" s="11"/>
      <c r="C5" s="12" t="s">
        <v>363</v>
      </c>
      <c r="D5" s="15"/>
    </row>
    <row r="6" spans="2:4" ht="7.5" customHeight="1" x14ac:dyDescent="0.35">
      <c r="B6" s="13"/>
      <c r="C6" s="14"/>
      <c r="D6" s="15"/>
    </row>
    <row r="7" spans="2:4" x14ac:dyDescent="0.35">
      <c r="B7" s="336" t="s">
        <v>54</v>
      </c>
      <c r="C7" s="336"/>
      <c r="D7" s="15"/>
    </row>
    <row r="8" spans="2:4" ht="35.25" customHeight="1" x14ac:dyDescent="0.35">
      <c r="B8" s="9" t="s">
        <v>55</v>
      </c>
      <c r="C8" s="10" t="s">
        <v>52</v>
      </c>
      <c r="D8" s="16"/>
    </row>
    <row r="9" spans="2:4" ht="34.5" customHeight="1" x14ac:dyDescent="0.35">
      <c r="B9" s="9" t="s">
        <v>56</v>
      </c>
      <c r="C9" s="10" t="s">
        <v>53</v>
      </c>
      <c r="D9" s="16"/>
    </row>
    <row r="10" spans="2:4" ht="34.5" customHeight="1" x14ac:dyDescent="0.35">
      <c r="B10" s="9" t="s">
        <v>187</v>
      </c>
      <c r="C10" s="10" t="s">
        <v>370</v>
      </c>
      <c r="D10" s="16"/>
    </row>
    <row r="11" spans="2:4" ht="34.5" customHeight="1" x14ac:dyDescent="0.35">
      <c r="B11" s="9" t="s">
        <v>365</v>
      </c>
      <c r="C11" s="10" t="s">
        <v>366</v>
      </c>
      <c r="D11" s="16"/>
    </row>
    <row r="12" spans="2:4" ht="34.5" customHeight="1" x14ac:dyDescent="0.35">
      <c r="B12" s="9" t="s">
        <v>367</v>
      </c>
      <c r="C12" s="10" t="s">
        <v>368</v>
      </c>
      <c r="D12" s="16"/>
    </row>
    <row r="13" spans="2:4" ht="34.5" customHeight="1" x14ac:dyDescent="0.35">
      <c r="B13" s="9" t="s">
        <v>158</v>
      </c>
      <c r="C13" s="10" t="s">
        <v>364</v>
      </c>
      <c r="D13" s="16"/>
    </row>
    <row r="14" spans="2:4" ht="34.5" customHeight="1" x14ac:dyDescent="0.35">
      <c r="B14" s="9" t="s">
        <v>371</v>
      </c>
      <c r="C14" s="10" t="s">
        <v>372</v>
      </c>
      <c r="D14" s="16"/>
    </row>
    <row r="15" spans="2:4" ht="34.5" customHeight="1" x14ac:dyDescent="0.35">
      <c r="B15" s="9" t="s">
        <v>258</v>
      </c>
      <c r="C15" s="10" t="s">
        <v>373</v>
      </c>
      <c r="D15" s="16"/>
    </row>
    <row r="16" spans="2:4" ht="34.5" customHeight="1" x14ac:dyDescent="0.35">
      <c r="B16" s="9" t="s">
        <v>374</v>
      </c>
      <c r="C16" s="10" t="s">
        <v>375</v>
      </c>
      <c r="D16" s="16"/>
    </row>
    <row r="17" spans="2:4" ht="34.5" customHeight="1" x14ac:dyDescent="0.35">
      <c r="B17" s="9" t="s">
        <v>78</v>
      </c>
      <c r="C17" s="10" t="s">
        <v>369</v>
      </c>
      <c r="D17" s="16"/>
    </row>
    <row r="18" spans="2:4" ht="34.5" customHeight="1" x14ac:dyDescent="0.35">
      <c r="B18" s="9" t="s">
        <v>57</v>
      </c>
      <c r="C18" s="10" t="s">
        <v>80</v>
      </c>
      <c r="D18" s="16"/>
    </row>
    <row r="19" spans="2:4" ht="34.5" customHeight="1" x14ac:dyDescent="0.35">
      <c r="B19" s="9" t="s">
        <v>466</v>
      </c>
      <c r="C19" s="10" t="s">
        <v>467</v>
      </c>
      <c r="D19" s="16"/>
    </row>
    <row r="20" spans="2:4" ht="33" customHeight="1" x14ac:dyDescent="0.35">
      <c r="B20" s="9" t="s">
        <v>79</v>
      </c>
      <c r="C20" s="10" t="s">
        <v>376</v>
      </c>
    </row>
    <row r="21" spans="2:4" x14ac:dyDescent="0.35">
      <c r="B21" s="337" t="s">
        <v>145</v>
      </c>
      <c r="C21" s="337"/>
    </row>
    <row r="22" spans="2:4" ht="35.25" customHeight="1" x14ac:dyDescent="0.35">
      <c r="B22" s="7" t="s">
        <v>10</v>
      </c>
      <c r="C22" s="8" t="s">
        <v>61</v>
      </c>
    </row>
    <row r="23" spans="2:4" ht="23.25" customHeight="1" x14ac:dyDescent="0.35">
      <c r="B23" s="7" t="s">
        <v>11</v>
      </c>
      <c r="C23" s="8" t="s">
        <v>62</v>
      </c>
    </row>
    <row r="24" spans="2:4" ht="36" customHeight="1" x14ac:dyDescent="0.35">
      <c r="B24" s="7" t="s">
        <v>58</v>
      </c>
      <c r="C24" s="8" t="s">
        <v>63</v>
      </c>
    </row>
    <row r="25" spans="2:4" ht="35.25" customHeight="1" x14ac:dyDescent="0.35">
      <c r="B25" s="7" t="s">
        <v>13</v>
      </c>
      <c r="C25" s="8" t="s">
        <v>44</v>
      </c>
    </row>
    <row r="26" spans="2:4" ht="48" customHeight="1" x14ac:dyDescent="0.35">
      <c r="B26" s="7" t="s">
        <v>12</v>
      </c>
      <c r="C26" s="8" t="s">
        <v>45</v>
      </c>
    </row>
    <row r="27" spans="2:4" ht="33.75" customHeight="1" x14ac:dyDescent="0.35">
      <c r="B27" s="7" t="s">
        <v>15</v>
      </c>
      <c r="C27" s="8" t="s">
        <v>46</v>
      </c>
    </row>
    <row r="28" spans="2:4" ht="49.5" customHeight="1" x14ac:dyDescent="0.35">
      <c r="B28" s="7" t="s">
        <v>67</v>
      </c>
      <c r="C28" s="8" t="s">
        <v>378</v>
      </c>
    </row>
    <row r="29" spans="2:4" ht="49.5" customHeight="1" x14ac:dyDescent="0.35">
      <c r="B29" s="7" t="s">
        <v>187</v>
      </c>
      <c r="C29" s="8" t="s">
        <v>379</v>
      </c>
    </row>
    <row r="30" spans="2:4" ht="21.75" customHeight="1" x14ac:dyDescent="0.35">
      <c r="B30" s="7" t="s">
        <v>234</v>
      </c>
      <c r="C30" s="8" t="s">
        <v>380</v>
      </c>
    </row>
    <row r="31" spans="2:4" ht="33" customHeight="1" x14ac:dyDescent="0.35">
      <c r="B31" s="7" t="s">
        <v>381</v>
      </c>
      <c r="C31" s="8" t="s">
        <v>383</v>
      </c>
    </row>
    <row r="32" spans="2:4" ht="39.75" customHeight="1" x14ac:dyDescent="0.35">
      <c r="B32" s="7" t="s">
        <v>382</v>
      </c>
      <c r="C32" s="8" t="s">
        <v>384</v>
      </c>
    </row>
    <row r="33" spans="2:3" ht="36.75" customHeight="1" x14ac:dyDescent="0.35">
      <c r="B33" s="7" t="s">
        <v>59</v>
      </c>
      <c r="C33" s="8" t="s">
        <v>47</v>
      </c>
    </row>
    <row r="34" spans="2:3" ht="54.75" customHeight="1" x14ac:dyDescent="0.35">
      <c r="B34" s="7" t="s">
        <v>17</v>
      </c>
      <c r="C34" s="8" t="s">
        <v>48</v>
      </c>
    </row>
    <row r="35" spans="2:3" ht="36.75" customHeight="1" x14ac:dyDescent="0.35">
      <c r="B35" s="7" t="s">
        <v>385</v>
      </c>
      <c r="C35" s="8" t="s">
        <v>386</v>
      </c>
    </row>
    <row r="36" spans="2:3" ht="36.75" customHeight="1" x14ac:dyDescent="0.35">
      <c r="B36" s="7" t="s">
        <v>200</v>
      </c>
      <c r="C36" s="8" t="s">
        <v>387</v>
      </c>
    </row>
    <row r="37" spans="2:3" ht="36.75" customHeight="1" x14ac:dyDescent="0.35">
      <c r="B37" s="7" t="s">
        <v>246</v>
      </c>
      <c r="C37" s="8" t="s">
        <v>388</v>
      </c>
    </row>
    <row r="38" spans="2:3" ht="36.75" customHeight="1" x14ac:dyDescent="0.35">
      <c r="B38" s="7" t="s">
        <v>247</v>
      </c>
      <c r="C38" s="8" t="s">
        <v>389</v>
      </c>
    </row>
    <row r="39" spans="2:3" ht="21.75" customHeight="1" x14ac:dyDescent="0.35">
      <c r="B39" s="7" t="s">
        <v>19</v>
      </c>
      <c r="C39" s="8" t="s">
        <v>49</v>
      </c>
    </row>
    <row r="40" spans="2:3" x14ac:dyDescent="0.35">
      <c r="B40" s="337" t="s">
        <v>146</v>
      </c>
      <c r="C40" s="337"/>
    </row>
    <row r="41" spans="2:3" ht="29" x14ac:dyDescent="0.35">
      <c r="B41" s="7" t="s">
        <v>320</v>
      </c>
      <c r="C41" s="8" t="s">
        <v>393</v>
      </c>
    </row>
    <row r="42" spans="2:3" ht="29" x14ac:dyDescent="0.35">
      <c r="B42" s="7" t="s">
        <v>391</v>
      </c>
      <c r="C42" s="8" t="s">
        <v>392</v>
      </c>
    </row>
    <row r="43" spans="2:3" ht="44.25" customHeight="1" x14ac:dyDescent="0.35">
      <c r="B43" s="7" t="s">
        <v>16</v>
      </c>
      <c r="C43" s="8" t="s">
        <v>64</v>
      </c>
    </row>
    <row r="44" spans="2:3" ht="23.25" customHeight="1" x14ac:dyDescent="0.35">
      <c r="B44" s="7" t="s">
        <v>60</v>
      </c>
      <c r="C44" s="8" t="s">
        <v>65</v>
      </c>
    </row>
    <row r="45" spans="2:3" ht="23.25" customHeight="1" x14ac:dyDescent="0.35">
      <c r="B45" s="7" t="s">
        <v>18</v>
      </c>
      <c r="C45" s="8" t="s">
        <v>50</v>
      </c>
    </row>
    <row r="46" spans="2:3" ht="23.25" customHeight="1" x14ac:dyDescent="0.35">
      <c r="B46" s="7" t="s">
        <v>6</v>
      </c>
      <c r="C46" s="8" t="s">
        <v>51</v>
      </c>
    </row>
    <row r="47" spans="2:3" ht="23.25" customHeight="1" x14ac:dyDescent="0.35">
      <c r="B47" s="7" t="s">
        <v>328</v>
      </c>
      <c r="C47" s="8" t="s">
        <v>390</v>
      </c>
    </row>
    <row r="48" spans="2:3" x14ac:dyDescent="0.35">
      <c r="B48" s="328" t="s">
        <v>66</v>
      </c>
      <c r="C48" s="329"/>
    </row>
    <row r="49" spans="2:3" ht="49.5" customHeight="1" x14ac:dyDescent="0.35">
      <c r="B49" s="81"/>
      <c r="C49" s="125" t="s">
        <v>175</v>
      </c>
    </row>
    <row r="50" spans="2:3" x14ac:dyDescent="0.35">
      <c r="B50" s="17"/>
      <c r="C50" s="327" t="s">
        <v>497</v>
      </c>
    </row>
    <row r="51" spans="2:3" x14ac:dyDescent="0.35">
      <c r="B51" s="6"/>
      <c r="C51" s="6"/>
    </row>
    <row r="52" spans="2:3" x14ac:dyDescent="0.35">
      <c r="B52" s="6"/>
      <c r="C52" s="6"/>
    </row>
    <row r="53" spans="2:3" x14ac:dyDescent="0.35">
      <c r="B53" s="6"/>
      <c r="C53" s="6"/>
    </row>
  </sheetData>
  <mergeCells count="7">
    <mergeCell ref="B48:C48"/>
    <mergeCell ref="B3:C3"/>
    <mergeCell ref="B2:C2"/>
    <mergeCell ref="B4:C4"/>
    <mergeCell ref="B7:C7"/>
    <mergeCell ref="B21:C21"/>
    <mergeCell ref="B40:C40"/>
  </mergeCells>
  <hyperlinks>
    <hyperlink ref="B4" r:id="rId1" xr:uid="{BA23C1F9-B271-4366-9BB1-A7D6EFCC4A0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A0FAD-6A6F-4218-9009-2794521BD8DF}">
  <dimension ref="B2:M11"/>
  <sheetViews>
    <sheetView showGridLines="0" workbookViewId="0">
      <selection activeCell="B4" sqref="B4"/>
    </sheetView>
  </sheetViews>
  <sheetFormatPr defaultRowHeight="14.5" x14ac:dyDescent="0.35"/>
  <cols>
    <col min="2" max="2" width="17.54296875" customWidth="1"/>
    <col min="3" max="3" width="13.81640625" customWidth="1"/>
    <col min="4" max="4" width="11.81640625" customWidth="1"/>
    <col min="5" max="5" width="8.7265625" customWidth="1"/>
    <col min="6" max="6" width="12.54296875" customWidth="1"/>
    <col min="7" max="7" width="15.54296875" customWidth="1"/>
    <col min="8" max="8" width="18.1796875" customWidth="1"/>
    <col min="9" max="10" width="19.81640625" customWidth="1"/>
    <col min="11" max="11" width="12.453125" customWidth="1"/>
    <col min="12" max="12" width="38.1796875" customWidth="1"/>
  </cols>
  <sheetData>
    <row r="2" spans="2:13" x14ac:dyDescent="0.35">
      <c r="B2" s="120" t="s">
        <v>278</v>
      </c>
    </row>
    <row r="3" spans="2:13" x14ac:dyDescent="0.35">
      <c r="B3" s="120"/>
    </row>
    <row r="4" spans="2:13" x14ac:dyDescent="0.35">
      <c r="B4" s="120" t="s">
        <v>289</v>
      </c>
    </row>
    <row r="5" spans="2:13" x14ac:dyDescent="0.35">
      <c r="B5" s="120"/>
    </row>
    <row r="7" spans="2:13" s="253" customFormat="1" ht="53.25" customHeight="1" x14ac:dyDescent="0.35">
      <c r="B7" s="258" t="s">
        <v>280</v>
      </c>
      <c r="C7" s="258" t="s">
        <v>281</v>
      </c>
      <c r="D7" s="258" t="s">
        <v>279</v>
      </c>
      <c r="E7" s="258" t="s">
        <v>15</v>
      </c>
      <c r="F7" s="258" t="s">
        <v>73</v>
      </c>
      <c r="G7" s="258" t="s">
        <v>282</v>
      </c>
      <c r="H7" s="258" t="s">
        <v>283</v>
      </c>
      <c r="I7" s="258" t="s">
        <v>284</v>
      </c>
      <c r="J7" s="258" t="s">
        <v>287</v>
      </c>
      <c r="K7" s="258" t="s">
        <v>285</v>
      </c>
      <c r="L7" s="258" t="s">
        <v>288</v>
      </c>
    </row>
    <row r="8" spans="2:13" x14ac:dyDescent="0.35">
      <c r="B8" s="252">
        <v>45994</v>
      </c>
      <c r="C8" s="257" t="s">
        <v>286</v>
      </c>
      <c r="D8">
        <v>10</v>
      </c>
      <c r="E8" s="122" t="s">
        <v>33</v>
      </c>
      <c r="F8">
        <v>9.9985999999999997</v>
      </c>
      <c r="G8">
        <v>1.5E-3</v>
      </c>
      <c r="H8">
        <v>10.0002</v>
      </c>
      <c r="I8">
        <v>1E-3</v>
      </c>
      <c r="J8" s="255">
        <f>IF(AND(ProfTestTable[[#This Row],[Measured Uncertainty (k=2)]]&gt;0,ProfTestTable[[#This Row],[External Lab''s Measured Uncertainty (k=2)]]&gt;0),(ProfTestTable[[#This Row],[Measured Value]]-ProfTestTable[[#This Row],[External Lab''s Measured Value]])/SQRT(SUMSQ(ProfTestTable[[#This Row],[Measured Uncertainty (k=2)]],ProfTestTable[[#This Row],[External Lab''s Measured Uncertainty (k=2)]])),"")</f>
        <v>-0.88752031396026876</v>
      </c>
      <c r="K8" s="256">
        <f>IF(ProfTestTable[[#This Row],[Normalized
Error En]]&lt;&gt;"", ABS(ProfTestTable[[#This Row],[Normalized
Error En]]), "")</f>
        <v>0.88752031396026876</v>
      </c>
      <c r="L8" s="256"/>
      <c r="M8" s="255"/>
    </row>
    <row r="9" spans="2:13" x14ac:dyDescent="0.35">
      <c r="B9" s="252">
        <v>45994</v>
      </c>
      <c r="C9" s="257" t="s">
        <v>286</v>
      </c>
      <c r="D9">
        <v>20</v>
      </c>
      <c r="E9" s="122" t="s">
        <v>33</v>
      </c>
      <c r="F9">
        <v>19.999749999999999</v>
      </c>
      <c r="G9">
        <v>1.5E-3</v>
      </c>
      <c r="H9">
        <v>20.000119999999999</v>
      </c>
      <c r="I9">
        <v>1E-3</v>
      </c>
      <c r="J9" s="255">
        <f>IF(AND(ProfTestTable[[#This Row],[Measured Uncertainty (k=2)]]&gt;0,ProfTestTable[[#This Row],[External Lab''s Measured Uncertainty (k=2)]]&gt;0),(ProfTestTable[[#This Row],[Measured Value]]-ProfTestTable[[#This Row],[External Lab''s Measured Value]])/SQRT(SUMSQ(ProfTestTable[[#This Row],[Measured Uncertainty (k=2)]],ProfTestTable[[#This Row],[External Lab''s Measured Uncertainty (k=2)]])),"")</f>
        <v>-0.20523907260344765</v>
      </c>
      <c r="K9" s="256">
        <f>IF(ProfTestTable[[#This Row],[Normalized
Error En]]&lt;&gt;"", ABS(ProfTestTable[[#This Row],[Normalized
Error En]]), "")</f>
        <v>0.20523907260344765</v>
      </c>
      <c r="L9" s="256"/>
      <c r="M9" s="255"/>
    </row>
    <row r="10" spans="2:13" x14ac:dyDescent="0.35">
      <c r="B10" s="252"/>
      <c r="C10" s="257"/>
      <c r="E10" s="122"/>
      <c r="J10" s="255" t="str">
        <f>IF(AND(ProfTestTable[[#This Row],[Measured Uncertainty (k=2)]]&gt;0,ProfTestTable[[#This Row],[External Lab''s Measured Uncertainty (k=2)]]&gt;0),(ProfTestTable[[#This Row],[Measured Value]]-ProfTestTable[[#This Row],[External Lab''s Measured Value]])/SQRT(SUMSQ(ProfTestTable[[#This Row],[Measured Uncertainty (k=2)]],ProfTestTable[[#This Row],[External Lab''s Measured Uncertainty (k=2)]])),"")</f>
        <v/>
      </c>
      <c r="K10" s="256" t="str">
        <f>IF(ProfTestTable[[#This Row],[Normalized
Error En]]&lt;&gt;"", ABS(ProfTestTable[[#This Row],[Normalized
Error En]]), "")</f>
        <v/>
      </c>
      <c r="L10" s="256"/>
    </row>
    <row r="11" spans="2:13" x14ac:dyDescent="0.35">
      <c r="B11" s="252"/>
      <c r="C11" s="257"/>
      <c r="J11" s="255" t="str">
        <f>IF(AND(ProfTestTable[[#This Row],[Measured Uncertainty (k=2)]]&gt;0,ProfTestTable[[#This Row],[External Lab''s Measured Uncertainty (k=2)]]&gt;0),(ProfTestTable[[#This Row],[Measured Value]]-ProfTestTable[[#This Row],[External Lab''s Measured Value]])/SQRT(SUMSQ(ProfTestTable[[#This Row],[Measured Uncertainty (k=2)]],ProfTestTable[[#This Row],[External Lab''s Measured Uncertainty (k=2)]])),"")</f>
        <v/>
      </c>
      <c r="K11" s="256" t="str">
        <f>IF(ProfTestTable[[#This Row],[Normalized
Error En]]&lt;&gt;"", ABS(ProfTestTable[[#This Row],[Normalized
Error En]]), "")</f>
        <v/>
      </c>
      <c r="L11" s="256"/>
    </row>
  </sheetData>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iconSet" priority="1" id="{D17AF46C-EBDA-4505-8DC8-40A119E1F95B}">
            <x14:iconSet showValue="0" custom="1">
              <x14:cfvo type="percent">
                <xm:f>0</xm:f>
              </x14:cfvo>
              <x14:cfvo type="num">
                <xm:f>0.9</xm:f>
              </x14:cfvo>
              <x14:cfvo type="num">
                <xm:f>1</xm:f>
              </x14:cfvo>
              <x14:cfIcon iconSet="3TrafficLights1" iconId="2"/>
              <x14:cfIcon iconSet="3TrafficLights1" iconId="1"/>
              <x14:cfIcon iconSet="3TrafficLights1" iconId="0"/>
            </x14:iconSet>
          </x14:cfRule>
          <xm:sqref>K8:L11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EC409-C5D5-4B27-AC17-D30E23438D9F}">
  <dimension ref="A1:O42"/>
  <sheetViews>
    <sheetView showGridLines="0" topLeftCell="B1" workbookViewId="0">
      <selection activeCell="B26" sqref="A26:XFD43"/>
    </sheetView>
  </sheetViews>
  <sheetFormatPr defaultColWidth="9.1796875" defaultRowHeight="14.5" x14ac:dyDescent="0.35"/>
  <cols>
    <col min="1" max="1" width="5" style="184" customWidth="1"/>
    <col min="2" max="2" width="32.453125" style="184" customWidth="1"/>
    <col min="3" max="3" width="13.26953125" style="184" customWidth="1"/>
    <col min="4" max="4" width="7" style="184" customWidth="1"/>
    <col min="5" max="5" width="7.54296875" style="184" customWidth="1"/>
    <col min="6" max="6" width="6" style="184" customWidth="1"/>
    <col min="7" max="7" width="31.7265625" style="184" customWidth="1"/>
    <col min="8" max="8" width="12.81640625" style="184" customWidth="1"/>
    <col min="9" max="9" width="9.1796875" style="184"/>
    <col min="10" max="10" width="22.26953125" style="21" customWidth="1"/>
    <col min="11" max="11" width="11.7265625" style="21" customWidth="1"/>
    <col min="12" max="12" width="13.54296875" style="184" customWidth="1"/>
    <col min="13" max="13" width="12.7265625" style="184" customWidth="1"/>
    <col min="14" max="14" width="12" style="184" customWidth="1"/>
    <col min="15" max="15" width="12.26953125" style="184" customWidth="1"/>
    <col min="16" max="16" width="13.54296875" style="184" customWidth="1"/>
    <col min="17" max="17" width="14" style="184" customWidth="1"/>
    <col min="18" max="16384" width="9.1796875" style="184"/>
  </cols>
  <sheetData>
    <row r="1" spans="1:15" ht="22" customHeight="1" thickBot="1" x14ac:dyDescent="0.4">
      <c r="A1" s="187"/>
      <c r="B1" s="187"/>
      <c r="C1" s="187"/>
      <c r="D1" s="187"/>
      <c r="E1" s="187"/>
      <c r="F1" s="187"/>
      <c r="G1" s="187"/>
      <c r="H1" s="187"/>
      <c r="I1" s="187"/>
    </row>
    <row r="2" spans="1:15" ht="22" customHeight="1" x14ac:dyDescent="0.35">
      <c r="A2" s="187"/>
      <c r="B2" s="365" t="s">
        <v>71</v>
      </c>
      <c r="C2" s="366"/>
      <c r="D2" s="366"/>
      <c r="E2" s="367"/>
      <c r="F2" s="232"/>
      <c r="G2" s="187"/>
      <c r="H2" s="187"/>
      <c r="I2" s="187"/>
      <c r="J2" s="247" t="s">
        <v>21</v>
      </c>
      <c r="K2" s="248" cm="1">
        <f t="array" ref="K2">TOL_LOWER_LIMIT(C4,D4,E4)</f>
        <v>54</v>
      </c>
      <c r="L2" s="82" t="s">
        <v>219</v>
      </c>
    </row>
    <row r="3" spans="1:15" ht="22" customHeight="1" x14ac:dyDescent="0.35">
      <c r="A3" s="187"/>
      <c r="B3" s="22" t="s">
        <v>68</v>
      </c>
      <c r="C3" s="19">
        <v>60</v>
      </c>
      <c r="D3" s="19"/>
      <c r="E3" s="61"/>
      <c r="F3" s="235"/>
      <c r="G3" s="187"/>
      <c r="H3" s="187"/>
      <c r="I3" s="187"/>
      <c r="J3" s="247" t="s">
        <v>22</v>
      </c>
      <c r="K3" s="248" cm="1">
        <f t="array" ref="K3">TOL_UPPER_LIMIT(C4,D4,E4)</f>
        <v>66</v>
      </c>
    </row>
    <row r="4" spans="1:15" ht="22" customHeight="1" x14ac:dyDescent="0.35">
      <c r="A4" s="187"/>
      <c r="B4" s="22" t="s">
        <v>12</v>
      </c>
      <c r="C4" s="56">
        <v>60</v>
      </c>
      <c r="D4" s="18" t="s">
        <v>1</v>
      </c>
      <c r="E4" s="62">
        <v>6</v>
      </c>
      <c r="F4" s="236"/>
      <c r="G4" s="187"/>
      <c r="H4" s="187"/>
      <c r="I4" s="187"/>
      <c r="J4" s="247" t="s">
        <v>20</v>
      </c>
      <c r="K4" s="248" cm="1">
        <f t="array" ref="K4">SIGMA_FROM_ITP(C3,K2,K3,C5)</f>
        <v>4.1680228054260544</v>
      </c>
    </row>
    <row r="5" spans="1:15" ht="22" customHeight="1" x14ac:dyDescent="0.35">
      <c r="A5" s="187"/>
      <c r="B5" s="22" t="s">
        <v>67</v>
      </c>
      <c r="C5" s="57">
        <v>0.85</v>
      </c>
      <c r="D5" s="19"/>
      <c r="E5" s="61"/>
      <c r="F5" s="235"/>
      <c r="G5" s="187"/>
      <c r="H5" s="187"/>
      <c r="I5" s="187"/>
      <c r="J5" s="247" t="s">
        <v>189</v>
      </c>
      <c r="K5" s="248" cm="1">
        <f t="array" ref="K5">GB_WIDTH(C7,C9,K2,K3,C3,C6,K4,C8)</f>
        <v>0.34314575050761986</v>
      </c>
    </row>
    <row r="6" spans="1:15" ht="22" customHeight="1" x14ac:dyDescent="0.35">
      <c r="A6" s="187"/>
      <c r="B6" s="22" t="s">
        <v>81</v>
      </c>
      <c r="C6" s="58">
        <v>2</v>
      </c>
      <c r="D6" s="19"/>
      <c r="E6" s="61"/>
      <c r="F6" s="235"/>
      <c r="G6" s="187"/>
      <c r="H6" s="187"/>
      <c r="I6" s="187"/>
      <c r="J6" s="21" t="s">
        <v>23</v>
      </c>
      <c r="K6" s="249">
        <f>K2+K5</f>
        <v>54.343145750507617</v>
      </c>
    </row>
    <row r="7" spans="1:15" ht="22" customHeight="1" x14ac:dyDescent="0.35">
      <c r="A7" s="187"/>
      <c r="B7" s="22" t="s">
        <v>17</v>
      </c>
      <c r="C7" s="59" t="s">
        <v>43</v>
      </c>
      <c r="D7" s="19"/>
      <c r="E7" s="61"/>
      <c r="F7" s="235"/>
      <c r="G7" s="187"/>
      <c r="H7" s="187"/>
      <c r="I7" s="187"/>
      <c r="J7" s="21" t="s">
        <v>24</v>
      </c>
      <c r="K7" s="249">
        <f>K3-K5</f>
        <v>65.656854249492383</v>
      </c>
    </row>
    <row r="8" spans="1:15" ht="22" customHeight="1" x14ac:dyDescent="0.35">
      <c r="A8" s="187"/>
      <c r="B8" s="22" t="s">
        <v>58</v>
      </c>
      <c r="C8" s="60">
        <v>1</v>
      </c>
      <c r="D8" s="19"/>
      <c r="E8" s="61"/>
      <c r="F8" s="235"/>
      <c r="G8" s="187"/>
      <c r="H8" s="187"/>
      <c r="I8" s="187"/>
      <c r="O8" s="233"/>
    </row>
    <row r="9" spans="1:15" ht="22" customHeight="1" x14ac:dyDescent="0.35">
      <c r="A9" s="187"/>
      <c r="B9" s="117" t="s">
        <v>16</v>
      </c>
      <c r="C9" s="65" cm="1">
        <f t="array" ref="C9">TUR(C4,D4,E4,C6,C3)</f>
        <v>3</v>
      </c>
      <c r="D9" s="66"/>
      <c r="E9" s="70"/>
      <c r="F9" s="235"/>
      <c r="G9" s="187"/>
      <c r="H9" s="187"/>
      <c r="I9" s="187"/>
      <c r="O9" s="234"/>
    </row>
    <row r="10" spans="1:15" ht="22" customHeight="1" x14ac:dyDescent="0.35">
      <c r="A10" s="187"/>
      <c r="B10" s="117" t="s">
        <v>60</v>
      </c>
      <c r="C10" s="239" cm="1">
        <f t="array" ref="C10">PFA(K2,K3,K2,K3,C3,C6/2,K4)</f>
        <v>2.1867540301010152E-2</v>
      </c>
      <c r="D10" s="66"/>
      <c r="E10" s="70"/>
      <c r="F10" s="235"/>
      <c r="G10" s="187"/>
      <c r="H10" s="187"/>
      <c r="I10" s="187"/>
      <c r="J10" s="247"/>
      <c r="K10" s="248"/>
    </row>
    <row r="11" spans="1:15" ht="22" customHeight="1" x14ac:dyDescent="0.35">
      <c r="A11" s="187"/>
      <c r="B11" s="117" t="s">
        <v>70</v>
      </c>
      <c r="C11" s="240" cm="1">
        <f t="array" ref="C11">TOL_DISPLAY_1(K6,K7,D4)</f>
        <v>60</v>
      </c>
      <c r="D11" s="241" t="str">
        <f>D4</f>
        <v>±</v>
      </c>
      <c r="E11" s="242" cm="1">
        <f t="array" ref="E11">TOL_DISPLAY_2(K6,K7,D4)</f>
        <v>5.6568542494923832</v>
      </c>
      <c r="F11" s="237"/>
      <c r="G11" s="187"/>
      <c r="H11" s="187"/>
      <c r="I11" s="187"/>
      <c r="J11" s="247"/>
      <c r="K11" s="248"/>
    </row>
    <row r="12" spans="1:15" ht="22" customHeight="1" thickBot="1" x14ac:dyDescent="0.4">
      <c r="A12" s="187"/>
      <c r="B12" s="118" t="s">
        <v>69</v>
      </c>
      <c r="C12" s="243" cm="1">
        <f t="array" ref="C12">PFA(K2,K3,K6,K7,C3,C6/2,K4)</f>
        <v>1.4060201077196355E-2</v>
      </c>
      <c r="D12" s="71"/>
      <c r="E12" s="72"/>
      <c r="F12" s="235"/>
      <c r="G12" s="187"/>
      <c r="H12" s="187"/>
      <c r="I12" s="187"/>
    </row>
    <row r="13" spans="1:15" ht="21" customHeight="1" thickBot="1" x14ac:dyDescent="0.4">
      <c r="A13" s="187"/>
      <c r="B13" s="187"/>
      <c r="C13" s="191"/>
      <c r="D13" s="187"/>
      <c r="E13" s="187"/>
      <c r="F13" s="187"/>
      <c r="G13" s="187"/>
      <c r="H13" s="187"/>
      <c r="I13" s="187"/>
    </row>
    <row r="14" spans="1:15" ht="21" customHeight="1" x14ac:dyDescent="0.35">
      <c r="A14" s="187"/>
      <c r="B14" s="365" t="s">
        <v>72</v>
      </c>
      <c r="C14" s="366"/>
      <c r="D14" s="366"/>
      <c r="E14" s="367"/>
      <c r="F14" s="232"/>
      <c r="G14" s="187"/>
      <c r="H14" s="187"/>
      <c r="I14" s="187"/>
    </row>
    <row r="15" spans="1:15" ht="20.149999999999999" customHeight="1" x14ac:dyDescent="0.35">
      <c r="A15" s="187"/>
      <c r="B15" s="22" t="s">
        <v>73</v>
      </c>
      <c r="C15" s="19">
        <v>62.6</v>
      </c>
      <c r="D15" s="19"/>
      <c r="E15" s="61"/>
      <c r="F15" s="235"/>
      <c r="G15" s="187"/>
      <c r="H15" s="187"/>
      <c r="I15" s="187"/>
      <c r="J15" s="247" t="s">
        <v>21</v>
      </c>
      <c r="K15" s="248" cm="1">
        <f t="array" ref="K15">TOL_LOWER_LIMIT(C16,D16,E16)</f>
        <v>54</v>
      </c>
    </row>
    <row r="16" spans="1:15" ht="20.149999999999999" customHeight="1" x14ac:dyDescent="0.35">
      <c r="A16" s="187"/>
      <c r="B16" s="22" t="s">
        <v>12</v>
      </c>
      <c r="C16" s="56">
        <v>60</v>
      </c>
      <c r="D16" s="18" t="s">
        <v>1</v>
      </c>
      <c r="E16" s="62">
        <v>6</v>
      </c>
      <c r="F16" s="236"/>
      <c r="G16" s="187"/>
      <c r="H16" s="187"/>
      <c r="I16" s="187"/>
      <c r="J16" s="247" t="s">
        <v>22</v>
      </c>
      <c r="K16" s="248" cm="1">
        <f t="array" ref="K16">TOL_UPPER_LIMIT(C16,D16,E16)</f>
        <v>66</v>
      </c>
    </row>
    <row r="17" spans="1:12" ht="20.149999999999999" customHeight="1" x14ac:dyDescent="0.35">
      <c r="A17" s="187"/>
      <c r="B17" s="22" t="s">
        <v>81</v>
      </c>
      <c r="C17" s="63">
        <v>2</v>
      </c>
      <c r="D17" s="19"/>
      <c r="E17" s="61"/>
      <c r="F17" s="235"/>
      <c r="G17" s="187"/>
      <c r="H17" s="187"/>
      <c r="I17" s="187"/>
    </row>
    <row r="18" spans="1:12" ht="20.149999999999999" customHeight="1" x14ac:dyDescent="0.35">
      <c r="A18" s="187"/>
      <c r="B18" s="22"/>
      <c r="C18" s="19"/>
      <c r="D18" s="19"/>
      <c r="E18" s="61"/>
      <c r="F18" s="235"/>
      <c r="G18" s="187"/>
      <c r="H18" s="187"/>
      <c r="I18" s="187"/>
    </row>
    <row r="19" spans="1:12" ht="20.149999999999999" customHeight="1" x14ac:dyDescent="0.35">
      <c r="A19" s="187"/>
      <c r="B19" s="117" t="s">
        <v>75</v>
      </c>
      <c r="C19" s="244">
        <f>1-_xlfn.NORM.DIST(K16,C15,C17/2,TRUE)</f>
        <v>3.3692926567685522E-4</v>
      </c>
      <c r="D19" s="66"/>
      <c r="E19" s="70"/>
      <c r="F19" s="235"/>
      <c r="G19" s="187"/>
      <c r="H19" s="187"/>
      <c r="I19" s="187"/>
    </row>
    <row r="20" spans="1:12" ht="20.149999999999999" customHeight="1" x14ac:dyDescent="0.35">
      <c r="A20" s="187"/>
      <c r="B20" s="117" t="s">
        <v>76</v>
      </c>
      <c r="C20" s="244">
        <f>_xlfn.NORM.DIST(K15,C15,C17/2,TRUE)</f>
        <v>3.9858049628480956E-18</v>
      </c>
      <c r="D20" s="66"/>
      <c r="E20" s="70"/>
      <c r="F20" s="235"/>
      <c r="G20" s="187"/>
      <c r="H20" s="187"/>
      <c r="I20" s="187"/>
    </row>
    <row r="21" spans="1:12" ht="20.149999999999999" customHeight="1" x14ac:dyDescent="0.35">
      <c r="A21" s="187"/>
      <c r="B21" s="117" t="s">
        <v>74</v>
      </c>
      <c r="C21" s="245">
        <f>C20+C19</f>
        <v>3.3692926567685923E-4</v>
      </c>
      <c r="D21" s="66"/>
      <c r="E21" s="70"/>
      <c r="F21" s="235"/>
      <c r="G21" s="187"/>
      <c r="H21" s="187"/>
      <c r="I21" s="187"/>
    </row>
    <row r="22" spans="1:12" ht="20.149999999999999" customHeight="1" thickBot="1" x14ac:dyDescent="0.4">
      <c r="A22" s="187"/>
      <c r="B22" s="118" t="s">
        <v>77</v>
      </c>
      <c r="C22" s="246">
        <f>1-C21</f>
        <v>0.99966307073432314</v>
      </c>
      <c r="D22" s="71"/>
      <c r="E22" s="72"/>
      <c r="F22" s="235"/>
      <c r="G22" s="187"/>
      <c r="H22" s="187"/>
      <c r="I22" s="187"/>
    </row>
    <row r="23" spans="1:12" x14ac:dyDescent="0.35">
      <c r="A23" s="187"/>
      <c r="B23" s="187"/>
      <c r="C23" s="187"/>
      <c r="D23" s="187"/>
      <c r="E23" s="187"/>
      <c r="F23" s="187"/>
      <c r="G23" s="187"/>
      <c r="H23" s="187"/>
      <c r="I23" s="187"/>
    </row>
    <row r="24" spans="1:12" s="185" customFormat="1" ht="15" thickBot="1" x14ac:dyDescent="0.4">
      <c r="J24" s="201"/>
      <c r="K24" s="201"/>
    </row>
    <row r="25" spans="1:12" s="187" customFormat="1" x14ac:dyDescent="0.35">
      <c r="J25" s="198"/>
      <c r="K25" s="198"/>
    </row>
    <row r="26" spans="1:12" x14ac:dyDescent="0.35">
      <c r="A26" s="187"/>
      <c r="B26" s="191" t="s">
        <v>317</v>
      </c>
      <c r="C26" s="187"/>
      <c r="D26" s="187"/>
      <c r="E26" s="187"/>
      <c r="F26" s="187"/>
      <c r="G26" s="187"/>
      <c r="H26" s="187"/>
      <c r="I26" s="187"/>
    </row>
    <row r="27" spans="1:12" ht="15" thickBot="1" x14ac:dyDescent="0.4"/>
    <row r="28" spans="1:12" x14ac:dyDescent="0.35">
      <c r="B28" s="365" t="s">
        <v>71</v>
      </c>
      <c r="C28" s="366"/>
      <c r="D28" s="366"/>
      <c r="E28" s="367"/>
      <c r="F28" s="187"/>
      <c r="G28" s="359" t="s">
        <v>171</v>
      </c>
      <c r="H28" s="361"/>
      <c r="I28" s="228"/>
      <c r="L28" s="82" t="s">
        <v>219</v>
      </c>
    </row>
    <row r="29" spans="1:12" x14ac:dyDescent="0.35">
      <c r="B29" s="22" t="s">
        <v>159</v>
      </c>
      <c r="C29" s="74">
        <v>1E-3</v>
      </c>
      <c r="D29" s="23"/>
      <c r="E29" s="24"/>
      <c r="F29" s="187"/>
      <c r="G29" s="22" t="s">
        <v>160</v>
      </c>
      <c r="H29" s="73">
        <v>200</v>
      </c>
      <c r="I29" s="229"/>
      <c r="L29" s="238"/>
    </row>
    <row r="30" spans="1:12" x14ac:dyDescent="0.35">
      <c r="B30" s="22" t="s">
        <v>68</v>
      </c>
      <c r="C30" s="19">
        <v>0</v>
      </c>
      <c r="D30" s="19"/>
      <c r="E30" s="61"/>
      <c r="F30" s="187"/>
      <c r="G30" s="22" t="s">
        <v>161</v>
      </c>
      <c r="H30" s="73">
        <v>30</v>
      </c>
      <c r="I30" s="229"/>
      <c r="J30" s="247" t="s">
        <v>21</v>
      </c>
      <c r="K30" s="250" cm="1">
        <f t="array" ref="K30">TOL_LOWER_LIMIT(C31,D31,E31)</f>
        <v>-1</v>
      </c>
    </row>
    <row r="31" spans="1:12" x14ac:dyDescent="0.35">
      <c r="B31" s="22" t="s">
        <v>12</v>
      </c>
      <c r="C31" s="56">
        <v>0</v>
      </c>
      <c r="D31" s="18" t="s">
        <v>1</v>
      </c>
      <c r="E31" s="62">
        <v>1</v>
      </c>
      <c r="F31" s="187"/>
      <c r="G31" s="22" t="s">
        <v>173</v>
      </c>
      <c r="H31" s="78">
        <v>1000000</v>
      </c>
      <c r="I31" s="230"/>
      <c r="J31" s="247" t="s">
        <v>22</v>
      </c>
      <c r="K31" s="250" cm="1">
        <f t="array" ref="K31">TOL_UPPER_LIMIT(C31,D31,E31)</f>
        <v>1</v>
      </c>
    </row>
    <row r="32" spans="1:12" x14ac:dyDescent="0.35">
      <c r="B32" s="22" t="s">
        <v>67</v>
      </c>
      <c r="C32" s="75">
        <v>0.9</v>
      </c>
      <c r="D32" s="19"/>
      <c r="E32" s="61"/>
      <c r="F32" s="187"/>
      <c r="G32" s="50"/>
      <c r="H32" s="24"/>
      <c r="I32" s="187"/>
      <c r="J32" s="247" t="s">
        <v>20</v>
      </c>
      <c r="K32" s="250" cm="1">
        <f t="array" ref="K32">SIGMA_FROM_ITP(C30,K30,K31,C32)</f>
        <v>0.60795683191176941</v>
      </c>
    </row>
    <row r="33" spans="2:12" ht="15" thickBot="1" x14ac:dyDescent="0.4">
      <c r="B33" s="25" t="s">
        <v>81</v>
      </c>
      <c r="C33" s="67">
        <v>0.04</v>
      </c>
      <c r="D33" s="68"/>
      <c r="E33" s="69"/>
      <c r="F33" s="187"/>
      <c r="G33" s="53"/>
      <c r="H33" s="27"/>
      <c r="I33" s="187"/>
      <c r="J33" s="247"/>
      <c r="K33" s="250"/>
    </row>
    <row r="34" spans="2:12" x14ac:dyDescent="0.35">
      <c r="E34" s="187"/>
      <c r="F34" s="187"/>
      <c r="J34" s="247"/>
      <c r="K34" s="250"/>
    </row>
    <row r="35" spans="2:12" ht="15" thickBot="1" x14ac:dyDescent="0.4">
      <c r="B35" s="192"/>
      <c r="C35" s="235"/>
      <c r="D35" s="235"/>
      <c r="E35" s="187"/>
      <c r="F35" s="187"/>
      <c r="J35" s="247" t="s">
        <v>189</v>
      </c>
      <c r="K35" s="250" cm="1">
        <f t="array" ref="K35">GBW_TARGET(K30,K31,C30,C33/2,K32,C29)</f>
        <v>1.3340222138378675E-2</v>
      </c>
    </row>
    <row r="36" spans="2:12" x14ac:dyDescent="0.35">
      <c r="B36" s="350" t="s">
        <v>172</v>
      </c>
      <c r="C36" s="352"/>
      <c r="D36" s="352"/>
      <c r="E36" s="351"/>
      <c r="F36" s="187"/>
      <c r="G36" s="350" t="s">
        <v>170</v>
      </c>
      <c r="H36" s="351"/>
      <c r="I36" s="228"/>
      <c r="J36" s="21" t="s">
        <v>23</v>
      </c>
      <c r="K36" s="251">
        <f>K30+K35</f>
        <v>-0.98665977786162129</v>
      </c>
    </row>
    <row r="37" spans="2:12" ht="16" customHeight="1" x14ac:dyDescent="0.35">
      <c r="B37" s="117" t="s">
        <v>16</v>
      </c>
      <c r="C37" s="65" cm="1">
        <f t="array" ref="C37">TUR(C31,D31,E31,C33,C30)</f>
        <v>25</v>
      </c>
      <c r="D37" s="66"/>
      <c r="E37" s="70"/>
      <c r="F37" s="187"/>
      <c r="G37" s="117" t="s">
        <v>163</v>
      </c>
      <c r="H37" s="79">
        <f>H31*C41</f>
        <v>999.98880965132537</v>
      </c>
      <c r="I37" s="230"/>
      <c r="J37" s="21" t="s">
        <v>24</v>
      </c>
      <c r="K37" s="251">
        <f>K31-K35</f>
        <v>0.98665977786162129</v>
      </c>
    </row>
    <row r="38" spans="2:12" ht="16" customHeight="1" x14ac:dyDescent="0.35">
      <c r="B38" s="117" t="s">
        <v>60</v>
      </c>
      <c r="C38" s="76" cm="1">
        <f t="array" ref="C38">PFA(K30,K31,K30,K31,C30,C33/2,K32)</f>
        <v>2.6220806071250435E-3</v>
      </c>
      <c r="D38" s="66"/>
      <c r="E38" s="70"/>
      <c r="G38" s="117" t="s">
        <v>164</v>
      </c>
      <c r="H38" s="79">
        <f>H31*C42</f>
        <v>5797.4885292756126</v>
      </c>
      <c r="I38" s="230"/>
      <c r="J38" s="247"/>
      <c r="K38" s="250"/>
    </row>
    <row r="39" spans="2:12" ht="16" customHeight="1" x14ac:dyDescent="0.35">
      <c r="B39" s="117" t="s">
        <v>169</v>
      </c>
      <c r="C39" s="76" cm="1">
        <f t="array" ref="C39">PFR(K30,K31,K30,K31,C30,C33/2,K32)</f>
        <v>2.806942250260458E-3</v>
      </c>
      <c r="D39" s="66"/>
      <c r="E39" s="70"/>
      <c r="G39" s="64" t="s">
        <v>162</v>
      </c>
      <c r="H39" s="80">
        <f>H37*H29</f>
        <v>199997.76193026509</v>
      </c>
      <c r="I39" s="231"/>
      <c r="J39" s="247"/>
      <c r="K39" s="250"/>
    </row>
    <row r="40" spans="2:12" ht="16" customHeight="1" x14ac:dyDescent="0.35">
      <c r="B40" s="64" t="s">
        <v>70</v>
      </c>
      <c r="C40" s="123" cm="1">
        <f t="array" ref="C40">TOL_DISPLAY_1(K36,K37,D31)</f>
        <v>0</v>
      </c>
      <c r="D40" s="77" t="str">
        <f>D31</f>
        <v>±</v>
      </c>
      <c r="E40" s="124" cm="1">
        <f t="array" ref="E40">TOL_DISPLAY_2(K36,K37,D31)</f>
        <v>0.98665977786162129</v>
      </c>
      <c r="G40" s="64" t="s">
        <v>165</v>
      </c>
      <c r="H40" s="80">
        <f>H38*H30</f>
        <v>173924.65587826839</v>
      </c>
      <c r="I40" s="231"/>
      <c r="L40" s="238"/>
    </row>
    <row r="41" spans="2:12" ht="16" customHeight="1" x14ac:dyDescent="0.35">
      <c r="B41" s="117" t="s">
        <v>167</v>
      </c>
      <c r="C41" s="76" cm="1">
        <f t="array" ref="C41">PFA(K30,K31,K36,K37,C30,C33/2,K32)</f>
        <v>9.9998880965132542E-4</v>
      </c>
      <c r="D41" s="66"/>
      <c r="E41" s="70"/>
      <c r="G41" s="64" t="s">
        <v>168</v>
      </c>
      <c r="H41" s="80">
        <f>H39+H40</f>
        <v>373922.41780853347</v>
      </c>
      <c r="I41" s="231"/>
      <c r="L41" s="238"/>
    </row>
    <row r="42" spans="2:12" ht="16" customHeight="1" thickBot="1" x14ac:dyDescent="0.4">
      <c r="B42" s="118" t="s">
        <v>166</v>
      </c>
      <c r="C42" s="318" cm="1">
        <f t="array" ref="C42">PFR(K30,K31,K36,K37,C30,C33/2,K32)</f>
        <v>5.7974885292756129E-3</v>
      </c>
      <c r="D42" s="71"/>
      <c r="E42" s="72"/>
      <c r="G42" s="37"/>
      <c r="H42" s="38"/>
      <c r="I42" s="187"/>
      <c r="L42" s="238"/>
    </row>
  </sheetData>
  <mergeCells count="6">
    <mergeCell ref="B2:E2"/>
    <mergeCell ref="B14:E14"/>
    <mergeCell ref="G28:H28"/>
    <mergeCell ref="G36:H36"/>
    <mergeCell ref="B28:E28"/>
    <mergeCell ref="B36:E3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92CE0582-45C2-434F-9E37-82284E1F6C55}">
          <x14:formula1>
            <xm:f>Lookup!$A$2:$A$5</xm:f>
          </x14:formula1>
          <xm:sqref>D4 D16 D31</xm:sqref>
        </x14:dataValidation>
        <x14:dataValidation type="list" allowBlank="1" showInputMessage="1" showErrorMessage="1" xr:uid="{FEB5F285-1E84-4BBE-9221-28510AD367C8}">
          <x14:formula1>
            <xm:f>Lookup!$B$2:$B$3</xm:f>
          </x14:formula1>
          <xm:sqref>C7</xm:sqref>
        </x14:dataValidation>
        <x14:dataValidation type="list" allowBlank="1" showInputMessage="1" showErrorMessage="1" xr:uid="{F59E5A41-54ED-40AB-AF4A-B925239F9C2A}">
          <x14:formula1>
            <xm:f>'Criticality Levels'!$B$3:$B$8</xm:f>
          </x14:formula1>
          <xm:sqref>C8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39786-94C2-4D75-A56B-20960782FC73}">
  <sheetPr codeName="Sheet3"/>
  <dimension ref="B2:F8"/>
  <sheetViews>
    <sheetView showGridLines="0" workbookViewId="0">
      <selection activeCell="F2" sqref="F2"/>
    </sheetView>
  </sheetViews>
  <sheetFormatPr defaultRowHeight="14.5" x14ac:dyDescent="0.35"/>
  <cols>
    <col min="1" max="1" width="4.26953125" customWidth="1"/>
    <col min="3" max="3" width="9.81640625" customWidth="1"/>
    <col min="4" max="4" width="9.54296875" customWidth="1"/>
  </cols>
  <sheetData>
    <row r="2" spans="2:6" x14ac:dyDescent="0.35">
      <c r="B2" t="s">
        <v>7</v>
      </c>
      <c r="C2" t="s">
        <v>8</v>
      </c>
      <c r="D2" t="s">
        <v>9</v>
      </c>
      <c r="F2" t="s">
        <v>360</v>
      </c>
    </row>
    <row r="3" spans="2:6" x14ac:dyDescent="0.35">
      <c r="B3">
        <v>0</v>
      </c>
      <c r="C3" s="1">
        <v>0.05</v>
      </c>
      <c r="D3">
        <v>1</v>
      </c>
    </row>
    <row r="4" spans="2:6" x14ac:dyDescent="0.35">
      <c r="B4">
        <v>1</v>
      </c>
      <c r="C4" s="1">
        <v>0.02</v>
      </c>
      <c r="D4">
        <v>4</v>
      </c>
    </row>
    <row r="5" spans="2:6" x14ac:dyDescent="0.35">
      <c r="B5">
        <v>2</v>
      </c>
      <c r="C5" s="1">
        <v>1.4999999999999999E-2</v>
      </c>
      <c r="D5">
        <v>6</v>
      </c>
    </row>
    <row r="6" spans="2:6" x14ac:dyDescent="0.35">
      <c r="B6">
        <v>3</v>
      </c>
      <c r="C6" s="1">
        <v>0.01</v>
      </c>
      <c r="D6">
        <v>8</v>
      </c>
    </row>
    <row r="7" spans="2:6" x14ac:dyDescent="0.35">
      <c r="B7">
        <v>4</v>
      </c>
      <c r="C7" s="1">
        <v>5.0000000000000001E-3</v>
      </c>
      <c r="D7">
        <v>10</v>
      </c>
    </row>
    <row r="8" spans="2:6" x14ac:dyDescent="0.35">
      <c r="B8">
        <v>5</v>
      </c>
      <c r="C8" s="1">
        <v>2.5000000000000001E-3</v>
      </c>
      <c r="D8">
        <v>12</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393A-4CEF-4973-9903-3C9C198F7103}">
  <dimension ref="B2:D42"/>
  <sheetViews>
    <sheetView workbookViewId="0">
      <selection activeCell="C21" sqref="C21"/>
    </sheetView>
  </sheetViews>
  <sheetFormatPr defaultRowHeight="14.5" x14ac:dyDescent="0.35"/>
  <cols>
    <col min="1" max="1" width="3" customWidth="1"/>
    <col min="2" max="2" width="23.1796875" customWidth="1"/>
    <col min="3" max="3" width="145.1796875" customWidth="1"/>
    <col min="4" max="4" width="70.26953125" style="253" customWidth="1"/>
  </cols>
  <sheetData>
    <row r="2" spans="2:4" s="20" customFormat="1" x14ac:dyDescent="0.35">
      <c r="B2" s="319" t="s">
        <v>397</v>
      </c>
      <c r="D2" s="320" t="s">
        <v>19</v>
      </c>
    </row>
    <row r="3" spans="2:4" s="296" customFormat="1" x14ac:dyDescent="0.35">
      <c r="B3" s="321" t="s">
        <v>394</v>
      </c>
      <c r="C3" s="322"/>
      <c r="D3" s="323"/>
    </row>
    <row r="4" spans="2:4" ht="377" x14ac:dyDescent="0.35">
      <c r="B4" t="s">
        <v>401</v>
      </c>
      <c r="C4" s="324" t="s">
        <v>402</v>
      </c>
      <c r="D4" s="253" t="s">
        <v>468</v>
      </c>
    </row>
    <row r="5" spans="2:4" ht="159.5" x14ac:dyDescent="0.35">
      <c r="B5" t="s">
        <v>447</v>
      </c>
      <c r="C5" s="324" t="s">
        <v>448</v>
      </c>
      <c r="D5" s="253" t="s">
        <v>449</v>
      </c>
    </row>
    <row r="6" spans="2:4" x14ac:dyDescent="0.35">
      <c r="C6" s="324"/>
    </row>
    <row r="7" spans="2:4" s="296" customFormat="1" x14ac:dyDescent="0.35">
      <c r="B7" s="321" t="s">
        <v>403</v>
      </c>
      <c r="C7" s="322"/>
      <c r="D7" s="323" t="s">
        <v>404</v>
      </c>
    </row>
    <row r="8" spans="2:4" ht="145" x14ac:dyDescent="0.35">
      <c r="B8" t="s">
        <v>405</v>
      </c>
      <c r="C8" s="324" t="s">
        <v>499</v>
      </c>
      <c r="D8" s="253" t="s">
        <v>406</v>
      </c>
    </row>
    <row r="9" spans="2:4" x14ac:dyDescent="0.35">
      <c r="B9" t="s">
        <v>407</v>
      </c>
      <c r="C9" s="324" t="s">
        <v>408</v>
      </c>
      <c r="D9" s="253" t="s">
        <v>409</v>
      </c>
    </row>
    <row r="10" spans="2:4" x14ac:dyDescent="0.35">
      <c r="B10" t="s">
        <v>410</v>
      </c>
      <c r="C10" s="324" t="s">
        <v>412</v>
      </c>
      <c r="D10" s="253" t="s">
        <v>411</v>
      </c>
    </row>
    <row r="11" spans="2:4" ht="87" x14ac:dyDescent="0.35">
      <c r="B11" t="s">
        <v>413</v>
      </c>
      <c r="C11" s="324" t="s">
        <v>415</v>
      </c>
      <c r="D11" s="253" t="s">
        <v>418</v>
      </c>
    </row>
    <row r="12" spans="2:4" ht="145" x14ac:dyDescent="0.35">
      <c r="B12" t="s">
        <v>414</v>
      </c>
      <c r="C12" s="324" t="s">
        <v>416</v>
      </c>
      <c r="D12" s="253" t="s">
        <v>417</v>
      </c>
    </row>
    <row r="13" spans="2:4" ht="217.5" x14ac:dyDescent="0.35">
      <c r="B13" t="s">
        <v>493</v>
      </c>
      <c r="C13" s="324" t="s">
        <v>494</v>
      </c>
      <c r="D13" s="253" t="s">
        <v>495</v>
      </c>
    </row>
    <row r="15" spans="2:4" s="296" customFormat="1" x14ac:dyDescent="0.35">
      <c r="B15" s="321" t="s">
        <v>419</v>
      </c>
      <c r="D15" s="323"/>
    </row>
    <row r="16" spans="2:4" ht="116" x14ac:dyDescent="0.35">
      <c r="B16" t="s">
        <v>16</v>
      </c>
      <c r="C16" s="324" t="s">
        <v>420</v>
      </c>
      <c r="D16" s="253" t="s">
        <v>476</v>
      </c>
    </row>
    <row r="17" spans="2:4" ht="72.5" x14ac:dyDescent="0.35">
      <c r="B17" t="s">
        <v>6</v>
      </c>
      <c r="C17" s="324" t="s">
        <v>500</v>
      </c>
      <c r="D17" s="253" t="s">
        <v>421</v>
      </c>
    </row>
    <row r="18" spans="2:4" ht="101.5" x14ac:dyDescent="0.35">
      <c r="B18" t="s">
        <v>422</v>
      </c>
      <c r="C18" s="324" t="s">
        <v>423</v>
      </c>
      <c r="D18" s="253" t="s">
        <v>470</v>
      </c>
    </row>
    <row r="19" spans="2:4" ht="188.5" x14ac:dyDescent="0.35">
      <c r="B19" t="s">
        <v>424</v>
      </c>
      <c r="C19" s="324" t="s">
        <v>425</v>
      </c>
      <c r="D19" s="253" t="s">
        <v>469</v>
      </c>
    </row>
    <row r="20" spans="2:4" ht="72.5" x14ac:dyDescent="0.35">
      <c r="B20" t="s">
        <v>328</v>
      </c>
      <c r="C20" s="324" t="s">
        <v>501</v>
      </c>
      <c r="D20" s="253" t="s">
        <v>426</v>
      </c>
    </row>
    <row r="21" spans="2:4" ht="101.5" x14ac:dyDescent="0.35">
      <c r="B21" t="s">
        <v>427</v>
      </c>
      <c r="C21" s="324" t="s">
        <v>428</v>
      </c>
      <c r="D21" s="253" t="s">
        <v>471</v>
      </c>
    </row>
    <row r="22" spans="2:4" ht="188.5" x14ac:dyDescent="0.35">
      <c r="B22" t="s">
        <v>429</v>
      </c>
      <c r="C22" s="324" t="s">
        <v>430</v>
      </c>
      <c r="D22" s="253" t="s">
        <v>472</v>
      </c>
    </row>
    <row r="23" spans="2:4" x14ac:dyDescent="0.35">
      <c r="C23" s="324"/>
    </row>
    <row r="24" spans="2:4" s="296" customFormat="1" x14ac:dyDescent="0.35">
      <c r="B24" s="296" t="s">
        <v>431</v>
      </c>
      <c r="D24" s="323" t="s">
        <v>474</v>
      </c>
    </row>
    <row r="25" spans="2:4" ht="87" x14ac:dyDescent="0.35">
      <c r="B25" t="s">
        <v>432</v>
      </c>
      <c r="C25" s="324" t="s">
        <v>433</v>
      </c>
      <c r="D25" s="253" t="s">
        <v>434</v>
      </c>
    </row>
    <row r="26" spans="2:4" x14ac:dyDescent="0.35">
      <c r="B26" t="s">
        <v>435</v>
      </c>
      <c r="C26" s="324" t="s">
        <v>437</v>
      </c>
      <c r="D26" s="253" t="s">
        <v>439</v>
      </c>
    </row>
    <row r="27" spans="2:4" x14ac:dyDescent="0.35">
      <c r="B27" t="s">
        <v>436</v>
      </c>
      <c r="C27" s="324" t="s">
        <v>438</v>
      </c>
      <c r="D27" s="253" t="s">
        <v>440</v>
      </c>
    </row>
    <row r="28" spans="2:4" ht="130.5" x14ac:dyDescent="0.35">
      <c r="B28" t="s">
        <v>441</v>
      </c>
      <c r="C28" s="324" t="s">
        <v>483</v>
      </c>
      <c r="D28" s="253" t="s">
        <v>473</v>
      </c>
    </row>
    <row r="29" spans="2:4" ht="87" x14ac:dyDescent="0.35">
      <c r="B29" t="s">
        <v>443</v>
      </c>
      <c r="C29" s="324" t="s">
        <v>442</v>
      </c>
      <c r="D29" s="253" t="s">
        <v>444</v>
      </c>
    </row>
    <row r="30" spans="2:4" ht="217.5" x14ac:dyDescent="0.35">
      <c r="B30" t="s">
        <v>445</v>
      </c>
      <c r="C30" s="324" t="s">
        <v>496</v>
      </c>
      <c r="D30" s="253" t="s">
        <v>446</v>
      </c>
    </row>
    <row r="31" spans="2:4" x14ac:dyDescent="0.35">
      <c r="C31" s="324"/>
    </row>
    <row r="32" spans="2:4" s="296" customFormat="1" x14ac:dyDescent="0.35">
      <c r="B32" s="296" t="s">
        <v>450</v>
      </c>
      <c r="D32" s="323"/>
    </row>
    <row r="33" spans="2:4" ht="43.5" x14ac:dyDescent="0.35">
      <c r="B33" t="s">
        <v>451</v>
      </c>
      <c r="C33" s="324" t="s">
        <v>334</v>
      </c>
      <c r="D33" s="253" t="s">
        <v>452</v>
      </c>
    </row>
    <row r="34" spans="2:4" ht="156.75" customHeight="1" x14ac:dyDescent="0.35">
      <c r="B34" t="s">
        <v>453</v>
      </c>
      <c r="C34" s="324" t="s">
        <v>395</v>
      </c>
      <c r="D34" s="253" t="s">
        <v>396</v>
      </c>
    </row>
    <row r="35" spans="2:4" ht="78" customHeight="1" x14ac:dyDescent="0.35">
      <c r="B35" t="s">
        <v>457</v>
      </c>
      <c r="C35" s="324" t="s">
        <v>458</v>
      </c>
      <c r="D35" s="253" t="s">
        <v>459</v>
      </c>
    </row>
    <row r="36" spans="2:4" ht="148.5" customHeight="1" x14ac:dyDescent="0.35">
      <c r="B36" t="s">
        <v>461</v>
      </c>
      <c r="C36" s="324" t="s">
        <v>460</v>
      </c>
      <c r="D36" s="253" t="s">
        <v>475</v>
      </c>
    </row>
    <row r="37" spans="2:4" ht="72.5" x14ac:dyDescent="0.35">
      <c r="B37" t="s">
        <v>454</v>
      </c>
      <c r="C37" s="324" t="s">
        <v>455</v>
      </c>
      <c r="D37" s="253" t="s">
        <v>456</v>
      </c>
    </row>
    <row r="38" spans="2:4" ht="72.5" x14ac:dyDescent="0.35">
      <c r="B38" t="s">
        <v>462</v>
      </c>
      <c r="C38" s="324" t="s">
        <v>463</v>
      </c>
      <c r="D38" s="253" t="s">
        <v>464</v>
      </c>
    </row>
    <row r="41" spans="2:4" s="296" customFormat="1" x14ac:dyDescent="0.35">
      <c r="B41" s="296" t="s">
        <v>398</v>
      </c>
      <c r="D41" s="323"/>
    </row>
    <row r="42" spans="2:4" ht="409.5" x14ac:dyDescent="0.35">
      <c r="B42" t="s">
        <v>399</v>
      </c>
      <c r="C42" s="324" t="s">
        <v>400</v>
      </c>
      <c r="D42" s="253" t="s">
        <v>465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AD823-DA92-4759-B403-5E593DB172F6}">
  <dimension ref="A1:C28"/>
  <sheetViews>
    <sheetView workbookViewId="0">
      <selection activeCell="B3" sqref="B3"/>
    </sheetView>
  </sheetViews>
  <sheetFormatPr defaultRowHeight="14.5" x14ac:dyDescent="0.35"/>
  <cols>
    <col min="1" max="1" width="18.54296875" style="122" customWidth="1"/>
    <col min="2" max="2" width="98.26953125" customWidth="1"/>
    <col min="3" max="3" width="13.7265625" style="122" customWidth="1"/>
  </cols>
  <sheetData>
    <row r="1" spans="1:3" x14ac:dyDescent="0.35">
      <c r="A1" s="121" t="s">
        <v>216</v>
      </c>
      <c r="B1" s="120" t="s">
        <v>217</v>
      </c>
      <c r="C1" s="121" t="s">
        <v>218</v>
      </c>
    </row>
    <row r="2" spans="1:3" x14ac:dyDescent="0.35">
      <c r="A2" s="122">
        <v>0.1</v>
      </c>
      <c r="B2" t="s">
        <v>215</v>
      </c>
      <c r="C2" s="127">
        <v>45848</v>
      </c>
    </row>
    <row r="3" spans="1:3" ht="134.25" customHeight="1" x14ac:dyDescent="0.35">
      <c r="A3" s="122">
        <v>0.2</v>
      </c>
      <c r="B3" s="126" t="s">
        <v>477</v>
      </c>
      <c r="C3" s="127">
        <v>46008</v>
      </c>
    </row>
    <row r="4" spans="1:3" x14ac:dyDescent="0.35">
      <c r="C4" s="127"/>
    </row>
    <row r="5" spans="1:3" x14ac:dyDescent="0.35">
      <c r="C5" s="127"/>
    </row>
    <row r="6" spans="1:3" x14ac:dyDescent="0.35">
      <c r="C6" s="127"/>
    </row>
    <row r="7" spans="1:3" x14ac:dyDescent="0.35">
      <c r="C7" s="127"/>
    </row>
    <row r="8" spans="1:3" x14ac:dyDescent="0.35">
      <c r="C8" s="127"/>
    </row>
    <row r="9" spans="1:3" x14ac:dyDescent="0.35">
      <c r="C9" s="127"/>
    </row>
    <row r="10" spans="1:3" x14ac:dyDescent="0.35">
      <c r="C10" s="127"/>
    </row>
    <row r="11" spans="1:3" x14ac:dyDescent="0.35">
      <c r="C11" s="127"/>
    </row>
    <row r="12" spans="1:3" x14ac:dyDescent="0.35">
      <c r="C12" s="127"/>
    </row>
    <row r="13" spans="1:3" x14ac:dyDescent="0.35">
      <c r="C13" s="127"/>
    </row>
    <row r="14" spans="1:3" x14ac:dyDescent="0.35">
      <c r="C14" s="127"/>
    </row>
    <row r="15" spans="1:3" x14ac:dyDescent="0.35">
      <c r="C15" s="127"/>
    </row>
    <row r="16" spans="1:3" x14ac:dyDescent="0.35">
      <c r="C16" s="127"/>
    </row>
    <row r="17" spans="3:3" x14ac:dyDescent="0.35">
      <c r="C17" s="127"/>
    </row>
    <row r="18" spans="3:3" x14ac:dyDescent="0.35">
      <c r="C18" s="127"/>
    </row>
    <row r="19" spans="3:3" x14ac:dyDescent="0.35">
      <c r="C19" s="127"/>
    </row>
    <row r="20" spans="3:3" x14ac:dyDescent="0.35">
      <c r="C20" s="127"/>
    </row>
    <row r="21" spans="3:3" x14ac:dyDescent="0.35">
      <c r="C21" s="127"/>
    </row>
    <row r="22" spans="3:3" x14ac:dyDescent="0.35">
      <c r="C22" s="127"/>
    </row>
    <row r="23" spans="3:3" x14ac:dyDescent="0.35">
      <c r="C23" s="127"/>
    </row>
    <row r="24" spans="3:3" x14ac:dyDescent="0.35">
      <c r="C24" s="127"/>
    </row>
    <row r="25" spans="3:3" x14ac:dyDescent="0.35">
      <c r="C25" s="127"/>
    </row>
    <row r="26" spans="3:3" x14ac:dyDescent="0.35">
      <c r="C26" s="127"/>
    </row>
    <row r="27" spans="3:3" x14ac:dyDescent="0.35">
      <c r="C27" s="127"/>
    </row>
    <row r="28" spans="3:3" x14ac:dyDescent="0.35">
      <c r="C28" s="127"/>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5A0A4-E32E-4D91-90A8-B529AB288482}">
  <sheetPr codeName="Sheet4"/>
  <dimension ref="A1:B5"/>
  <sheetViews>
    <sheetView workbookViewId="0">
      <selection activeCell="B1" sqref="A1:B1048576"/>
    </sheetView>
  </sheetViews>
  <sheetFormatPr defaultRowHeight="14.5" x14ac:dyDescent="0.35"/>
  <cols>
    <col min="1" max="1" width="17.453125" customWidth="1"/>
    <col min="2" max="2" width="21.453125" customWidth="1"/>
  </cols>
  <sheetData>
    <row r="1" spans="1:2" x14ac:dyDescent="0.35">
      <c r="A1" t="s">
        <v>0</v>
      </c>
      <c r="B1" t="s">
        <v>5</v>
      </c>
    </row>
    <row r="2" spans="1:2" x14ac:dyDescent="0.35">
      <c r="A2" t="s">
        <v>1</v>
      </c>
      <c r="B2" t="s">
        <v>43</v>
      </c>
    </row>
    <row r="3" spans="1:2" x14ac:dyDescent="0.35">
      <c r="A3" t="s">
        <v>2</v>
      </c>
      <c r="B3" t="s">
        <v>6</v>
      </c>
    </row>
    <row r="4" spans="1:2" x14ac:dyDescent="0.35">
      <c r="A4" t="s">
        <v>3</v>
      </c>
    </row>
    <row r="5" spans="1:2" x14ac:dyDescent="0.35">
      <c r="A5" t="s">
        <v>4</v>
      </c>
    </row>
  </sheetData>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AFA54-D126-4647-BE85-5F0C6A06EAC2}">
  <dimension ref="B1:AH24"/>
  <sheetViews>
    <sheetView showGridLines="0" zoomScale="85" zoomScaleNormal="85" workbookViewId="0">
      <pane ySplit="9" topLeftCell="A10" activePane="bottomLeft" state="frozen"/>
      <selection pane="bottomLeft" activeCell="V15" sqref="V15"/>
    </sheetView>
  </sheetViews>
  <sheetFormatPr defaultColWidth="9.1796875" defaultRowHeight="14.5" x14ac:dyDescent="0.35"/>
  <cols>
    <col min="1" max="1" width="2.1796875" style="82" customWidth="1"/>
    <col min="2" max="2" width="22.1796875" style="82" customWidth="1"/>
    <col min="3" max="3" width="15" style="82" customWidth="1"/>
    <col min="4" max="4" width="10.7265625" style="141" customWidth="1"/>
    <col min="5" max="5" width="10.1796875" style="141" customWidth="1"/>
    <col min="6" max="6" width="7" style="141" customWidth="1"/>
    <col min="7" max="7" width="4.1796875" style="141" customWidth="1"/>
    <col min="8" max="8" width="7" style="141" customWidth="1"/>
    <col min="9" max="9" width="5.7265625" style="141" customWidth="1"/>
    <col min="10" max="10" width="20.81640625" style="82" customWidth="1"/>
    <col min="11" max="11" width="11.453125" style="82" customWidth="1"/>
    <col min="12" max="12" width="3.54296875" style="82" customWidth="1"/>
    <col min="13" max="14" width="12" style="82" customWidth="1"/>
    <col min="15" max="16" width="12.54296875" style="82" customWidth="1"/>
    <col min="17" max="17" width="12.7265625" style="82" customWidth="1"/>
    <col min="18" max="18" width="6.54296875" style="82" customWidth="1"/>
    <col min="19" max="19" width="7.81640625" style="82" customWidth="1"/>
    <col min="20" max="20" width="9.453125" style="82" customWidth="1"/>
    <col min="21" max="21" width="3.7265625" style="82" customWidth="1"/>
    <col min="22" max="22" width="8.54296875" style="82" customWidth="1"/>
    <col min="23" max="23" width="11.26953125" style="82" customWidth="1"/>
    <col min="24" max="24" width="9.1796875" style="82" customWidth="1"/>
    <col min="25" max="25" width="12.26953125" style="82" customWidth="1"/>
    <col min="26" max="26" width="48.453125" style="82" customWidth="1"/>
    <col min="27" max="27" width="7.26953125" style="82" hidden="1" customWidth="1"/>
    <col min="28" max="29" width="16.7265625" style="82" hidden="1" customWidth="1"/>
    <col min="30" max="30" width="11.81640625" style="82" hidden="1" customWidth="1"/>
    <col min="31" max="33" width="16.7265625" style="82" hidden="1" customWidth="1"/>
    <col min="34" max="16384" width="9.1796875" style="82"/>
  </cols>
  <sheetData>
    <row r="1" spans="2:34" ht="6.75" customHeight="1" x14ac:dyDescent="0.35"/>
    <row r="2" spans="2:34" x14ac:dyDescent="0.35">
      <c r="B2" s="83" t="s">
        <v>37</v>
      </c>
      <c r="C2" s="345" t="s">
        <v>174</v>
      </c>
      <c r="D2" s="345"/>
      <c r="E2" s="345"/>
      <c r="F2" s="345"/>
      <c r="G2" s="345"/>
      <c r="H2" s="345"/>
      <c r="I2" s="345"/>
      <c r="AH2" s="84" t="s">
        <v>202</v>
      </c>
    </row>
    <row r="3" spans="2:34" x14ac:dyDescent="0.35">
      <c r="B3" s="83" t="s">
        <v>38</v>
      </c>
      <c r="C3" s="345"/>
      <c r="D3" s="345"/>
      <c r="E3" s="345"/>
      <c r="F3" s="345"/>
      <c r="G3" s="345"/>
      <c r="H3" s="345"/>
      <c r="I3" s="345"/>
    </row>
    <row r="4" spans="2:34" x14ac:dyDescent="0.35">
      <c r="B4" s="83" t="s">
        <v>39</v>
      </c>
      <c r="C4" s="345"/>
      <c r="D4" s="345"/>
      <c r="E4" s="345"/>
      <c r="F4" s="345"/>
      <c r="G4" s="345"/>
      <c r="H4" s="345"/>
      <c r="I4" s="345"/>
    </row>
    <row r="5" spans="2:34" x14ac:dyDescent="0.35">
      <c r="B5" s="83" t="s">
        <v>40</v>
      </c>
      <c r="C5" s="345"/>
      <c r="D5" s="345"/>
      <c r="E5" s="345"/>
      <c r="F5" s="345"/>
      <c r="G5" s="345"/>
      <c r="H5" s="345"/>
      <c r="I5" s="345"/>
    </row>
    <row r="7" spans="2:34" ht="32.25" customHeight="1" x14ac:dyDescent="0.35">
      <c r="B7" s="343" t="s">
        <v>262</v>
      </c>
      <c r="C7" s="342"/>
      <c r="D7" s="342"/>
      <c r="E7" s="342"/>
      <c r="F7" s="342"/>
      <c r="G7" s="342"/>
      <c r="H7" s="342"/>
      <c r="I7" s="344"/>
      <c r="J7" s="340" t="s">
        <v>265</v>
      </c>
      <c r="K7" s="341"/>
      <c r="L7" s="342"/>
      <c r="M7" s="342"/>
      <c r="N7" s="342"/>
      <c r="O7" s="342"/>
      <c r="P7" s="342"/>
      <c r="Q7" s="342"/>
      <c r="R7" s="342"/>
      <c r="S7" s="343" t="s">
        <v>261</v>
      </c>
      <c r="T7" s="342"/>
      <c r="U7" s="342"/>
      <c r="V7" s="344"/>
      <c r="W7" s="343" t="s">
        <v>277</v>
      </c>
      <c r="X7" s="342"/>
      <c r="Y7" s="344"/>
      <c r="Z7" s="144" t="s">
        <v>19</v>
      </c>
    </row>
    <row r="8" spans="2:34" ht="40.5" customHeight="1" x14ac:dyDescent="0.35">
      <c r="B8" s="112" t="s">
        <v>10</v>
      </c>
      <c r="C8" s="112" t="s">
        <v>11</v>
      </c>
      <c r="D8" s="112" t="s">
        <v>58</v>
      </c>
      <c r="E8" s="112" t="s">
        <v>13</v>
      </c>
      <c r="F8" s="338" t="s">
        <v>188</v>
      </c>
      <c r="G8" s="338"/>
      <c r="H8" s="338"/>
      <c r="I8" s="113" t="s">
        <v>15</v>
      </c>
      <c r="J8" s="113" t="s">
        <v>187</v>
      </c>
      <c r="K8" s="115" t="s">
        <v>234</v>
      </c>
      <c r="L8" s="111" t="s">
        <v>1</v>
      </c>
      <c r="M8" s="111" t="s">
        <v>252</v>
      </c>
      <c r="N8" s="111" t="s">
        <v>268</v>
      </c>
      <c r="O8" s="111" t="s">
        <v>250</v>
      </c>
      <c r="P8" s="111" t="s">
        <v>251</v>
      </c>
      <c r="Q8" s="111" t="s">
        <v>157</v>
      </c>
      <c r="R8" s="114" t="s">
        <v>15</v>
      </c>
      <c r="S8" s="112" t="s">
        <v>16</v>
      </c>
      <c r="T8" s="338" t="s">
        <v>18</v>
      </c>
      <c r="U8" s="338"/>
      <c r="V8" s="339"/>
      <c r="W8" s="103" t="s">
        <v>200</v>
      </c>
      <c r="X8" s="103" t="s">
        <v>246</v>
      </c>
      <c r="Y8" s="112" t="s">
        <v>247</v>
      </c>
      <c r="Z8" s="144"/>
      <c r="AB8" s="82" t="s">
        <v>21</v>
      </c>
      <c r="AC8" s="82" t="s">
        <v>22</v>
      </c>
      <c r="AD8" s="82" t="s">
        <v>210</v>
      </c>
      <c r="AE8" s="82" t="s">
        <v>189</v>
      </c>
      <c r="AF8" s="82" t="s">
        <v>190</v>
      </c>
      <c r="AG8" s="82" t="s">
        <v>191</v>
      </c>
    </row>
    <row r="9" spans="2:34" s="90" customFormat="1" ht="60" hidden="1" customHeight="1" x14ac:dyDescent="0.35">
      <c r="B9" s="85" t="s">
        <v>185</v>
      </c>
      <c r="C9" s="86" t="s">
        <v>184</v>
      </c>
      <c r="D9" s="86" t="s">
        <v>183</v>
      </c>
      <c r="E9" s="86" t="s">
        <v>186</v>
      </c>
      <c r="F9" s="137" t="s">
        <v>12</v>
      </c>
      <c r="G9" s="165" t="s">
        <v>178</v>
      </c>
      <c r="H9" s="166" t="s">
        <v>179</v>
      </c>
      <c r="I9" s="86" t="s">
        <v>15</v>
      </c>
      <c r="J9" s="138" t="s">
        <v>187</v>
      </c>
      <c r="K9" s="138" t="s">
        <v>232</v>
      </c>
      <c r="L9" s="138" t="s">
        <v>1</v>
      </c>
      <c r="M9" s="138" t="s">
        <v>221</v>
      </c>
      <c r="N9" s="138" t="s">
        <v>267</v>
      </c>
      <c r="O9" s="138" t="s">
        <v>244</v>
      </c>
      <c r="P9" s="138" t="s">
        <v>245</v>
      </c>
      <c r="Q9" s="138" t="s">
        <v>90</v>
      </c>
      <c r="R9" s="85" t="s">
        <v>180</v>
      </c>
      <c r="S9" s="87" t="s">
        <v>16</v>
      </c>
      <c r="T9" s="87" t="s">
        <v>192</v>
      </c>
      <c r="U9" s="87" t="s">
        <v>182</v>
      </c>
      <c r="V9" s="87" t="s">
        <v>193</v>
      </c>
      <c r="W9" s="86" t="s">
        <v>199</v>
      </c>
      <c r="X9" s="86" t="s">
        <v>258</v>
      </c>
      <c r="Y9" s="86" t="s">
        <v>259</v>
      </c>
      <c r="Z9" s="86" t="s">
        <v>19</v>
      </c>
      <c r="AA9" s="88" t="s">
        <v>177</v>
      </c>
      <c r="AB9" s="89" t="s">
        <v>195</v>
      </c>
      <c r="AC9" s="89" t="s">
        <v>194</v>
      </c>
      <c r="AD9" s="89" t="s">
        <v>211</v>
      </c>
      <c r="AE9" s="89" t="s">
        <v>196</v>
      </c>
      <c r="AF9" s="89" t="s">
        <v>197</v>
      </c>
      <c r="AG9" s="89" t="s">
        <v>198</v>
      </c>
    </row>
    <row r="10" spans="2:34" s="97" customFormat="1" ht="36.75" customHeight="1" x14ac:dyDescent="0.35">
      <c r="B10" s="93" t="s">
        <v>30</v>
      </c>
      <c r="C10" s="93" t="s">
        <v>31</v>
      </c>
      <c r="D10" s="93">
        <v>1</v>
      </c>
      <c r="E10" s="93">
        <v>60</v>
      </c>
      <c r="F10" s="93">
        <v>60</v>
      </c>
      <c r="G10" s="93" t="s">
        <v>1</v>
      </c>
      <c r="H10" s="93">
        <v>0.05</v>
      </c>
      <c r="I10" s="93" t="s">
        <v>253</v>
      </c>
      <c r="J10" s="133" t="s">
        <v>263</v>
      </c>
      <c r="K10" s="94" t="s">
        <v>254</v>
      </c>
      <c r="L10" s="93" t="s">
        <v>1</v>
      </c>
      <c r="M10" s="148" cm="1">
        <f t="array" ref="M10">_xlfn.LET(_xlpm.equip,EQUIPMENT_LOOKUP(TURMAP2[[#This Row],[Equipment]],TURMAP2[[#This Row],[Range]],TURMAP2[[#This Row],[Expected]]),
    IF(_xlpm.equip&gt;0,
       _xlpm.equip,
       _xlfn.LET(_xlpm.toltype, _xlfn.XLOOKUP(TURMAP2[[#This Row],[Equipment]],TURMAP2[Name],TURMAP2[TolType],""),
           _xlpm.tol, _xlfn.XLOOKUP(TURMAP2[[#This Row],[Equipment]],TURMAP2[Name],TURMAP2[ToleranceB],0),
           IF(_xlpm.toltype="±", _xlpm.tol, 0)
       )
    )
)</f>
        <v>3.8E-3</v>
      </c>
      <c r="N10" s="180" cm="1">
        <f t="array" ref="N10">_xlfn.LET(_xlpm.equiprel, _xlfn.XLOOKUP(1, (EquipmentSpecs[Equipment/Function]=TURMAP2[Equipment])*(EquipmentSpecs[Range Name]=TURMAP2[Range]), EquipmentSpecs[Reliability], 0),
    IF(_xlpm.equiprel&gt;0,
        _xlpm.equiprel,
        0.9545
    )
)</f>
        <v>0.95450000000000002</v>
      </c>
      <c r="O10" s="93">
        <v>0</v>
      </c>
      <c r="P10" s="93">
        <v>0</v>
      </c>
      <c r="Q10" s="174" cm="1">
        <f t="array" ref="Q10">_xlfn.LET(
    _xlpm.mtestd, SIGMA_FROM_ITP(0,-TURMAP2[[#This Row],[Accuracy]],TURMAP2[[#This Row],[Accuracy]],TURMAP2[[#This Row],[MTEReliability]]),
    _xlpm.accuracy, IF(ISNUMBER(_xlpm.mtestd), 2*_xlpm.mtestd, 0),
    SQRT(SUMSQ(_xlpm.accuracy, TURMAP2[[#This Row],[TypeA]], TURMAP2[[#This Row],[OtherUnc]]))
)</f>
        <v>3.7999953565964291E-3</v>
      </c>
      <c r="R10" s="93" t="s">
        <v>253</v>
      </c>
      <c r="S10" s="149" cm="1">
        <f t="array" ref="S10">IF(TURMAP2[[#This Row],[TolType]]&lt;&gt;"",TUR(TURMAP2[[#This Row],[Tolerance]],TURMAP2[[#This Row],[TolType]],TURMAP2[[#This Row],[ToleranceB]],TURMAP2[[#This Row],[Uncertainty]],TURMAP2[[#This Row],[Expected]]),"")</f>
        <v>13.157910815128965</v>
      </c>
      <c r="T10" s="150" cm="1">
        <f t="array" ref="T10">TOL_DISPLAY_1(TURMAP2[[#This Row],[AL]],TURMAP2[[#This Row],[AU]],TURMAP2[[#This Row],[TolType]])</f>
        <v>60</v>
      </c>
      <c r="U10" s="150" t="str">
        <f>IF(TURMAP2[[#This Row],[TolType]]&lt;&gt;"",TURMAP2[[#This Row],[TolType]],"")</f>
        <v>±</v>
      </c>
      <c r="V10" s="151" cm="1">
        <f t="array" ref="V10">IF(TURMAP2[[#This Row],[TolType]]&lt;&gt;"", TOL_DISPLAY_2(TURMAP2[[#This Row],[AL]],TURMAP2[[#This Row],[AU]],TURMAP2[[#This Row],[TolType]]), "")</f>
        <v>4.9999999999997158E-2</v>
      </c>
      <c r="W10" s="96" t="s">
        <v>201</v>
      </c>
      <c r="X10" s="142"/>
      <c r="Y10" s="96"/>
      <c r="Z10" s="92" t="s">
        <v>487</v>
      </c>
      <c r="AB10" s="98" cm="1">
        <f t="array" ref="AB10">TOL_LOWER_LIMIT(TURMAP2[[#This Row],[Tolerance]],TURMAP2[[#This Row],[TolType]],TURMAP2[[#This Row],[ToleranceB]])</f>
        <v>59.95</v>
      </c>
      <c r="AC10" s="98" cm="1">
        <f t="array" ref="AC10">TOL_UPPER_LIMIT(TURMAP2[[#This Row],[Tolerance]],TURMAP2[[#This Row],[TolType]],TURMAP2[[#This Row],[ToleranceB]])</f>
        <v>60.05</v>
      </c>
      <c r="AD10" s="98" t="b" cm="1">
        <f t="array" ref="AD10">GB_NEEDED("RDS",TURMAP2[[#This Row],[TUR]],0,TURMAP2[[#This Row],[Criticality]])</f>
        <v>0</v>
      </c>
      <c r="AE10" s="98" cm="1">
        <f t="array" ref="AE10">IF(TURMAP2[[#This Row],[Guardband]],GBW_RDS(TURMAP2[[#This Row],[TUR]],TURMAP2[[#This Row],[Uncertainty]],TURMAP2[[#This Row],[TL]],TURMAP2[[#This Row],[TU]]),0)</f>
        <v>0</v>
      </c>
      <c r="AF10" s="98">
        <f>TURMAP2[[#This Row],[TL]]+TURMAP2[[#This Row],[GBW]]</f>
        <v>59.95</v>
      </c>
      <c r="AG10" s="98">
        <f>TURMAP2[[#This Row],[TU]]-TURMAP2[[#This Row],[GBW]]</f>
        <v>60.05</v>
      </c>
    </row>
    <row r="11" spans="2:34" s="97" customFormat="1" ht="36.75" customHeight="1" x14ac:dyDescent="0.35">
      <c r="B11" s="93" t="s">
        <v>27</v>
      </c>
      <c r="C11" s="93" t="s">
        <v>28</v>
      </c>
      <c r="D11" s="93">
        <v>1</v>
      </c>
      <c r="E11" s="93">
        <v>50</v>
      </c>
      <c r="F11" s="93">
        <v>49.994999999999997</v>
      </c>
      <c r="G11" s="93" t="s">
        <v>2</v>
      </c>
      <c r="H11" s="93">
        <v>50.005000000000003</v>
      </c>
      <c r="I11" s="93" t="s">
        <v>26</v>
      </c>
      <c r="J11" s="133" t="s">
        <v>29</v>
      </c>
      <c r="K11" s="94"/>
      <c r="L11" s="93" t="s">
        <v>1</v>
      </c>
      <c r="M11" s="148" cm="1">
        <f t="array" ref="M11">_xlfn.LET(_xlpm.equip,EQUIPMENT_LOOKUP(TURMAP2[[#This Row],[Equipment]],TURMAP2[[#This Row],[Range]],TURMAP2[[#This Row],[Expected]]),
    IF(_xlpm.equip&gt;0,
       _xlpm.equip,
       _xlfn.LET(_xlpm.toltype, _xlfn.XLOOKUP(TURMAP2[[#This Row],[Equipment]],TURMAP2[Name],TURMAP2[TolType],""),
           _xlpm.tol, _xlfn.XLOOKUP(TURMAP2[[#This Row],[Equipment]],TURMAP2[Name],TURMAP2[ToleranceB],0),
           IF(_xlpm.toltype="±", _xlpm.tol, 0)
       )
    )
)</f>
        <v>0</v>
      </c>
      <c r="N11" s="180" cm="1">
        <f t="array" ref="N11">_xlfn.LET(_xlpm.equiprel, _xlfn.XLOOKUP(1, (EquipmentSpecs[Equipment/Function]=TURMAP2[Equipment])*(EquipmentSpecs[Range Name]=TURMAP2[Range]), EquipmentSpecs[Reliability], 0),
    IF(_xlpm.equiprel&gt;0,
        _xlpm.equiprel,
        0.9545
    )
)</f>
        <v>0.95450000000000002</v>
      </c>
      <c r="O11" s="93">
        <v>0</v>
      </c>
      <c r="P11" s="93">
        <v>1E-3</v>
      </c>
      <c r="Q11" s="174" cm="1">
        <f t="array" ref="Q11">_xlfn.LET(
    _xlpm.mtestd, SIGMA_FROM_ITP(0,-TURMAP2[[#This Row],[Accuracy]],TURMAP2[[#This Row],[Accuracy]],TURMAP2[[#This Row],[MTEReliability]]),
    _xlpm.accuracy, IF(ISNUMBER(_xlpm.mtestd), 2*_xlpm.mtestd, 0),
    SQRT(SUMSQ(_xlpm.accuracy, TURMAP2[[#This Row],[TypeA]], TURMAP2[[#This Row],[OtherUnc]]))
)</f>
        <v>1E-3</v>
      </c>
      <c r="R11" s="93" t="s">
        <v>26</v>
      </c>
      <c r="S11" s="149" cm="1">
        <f t="array" ref="S11">IF(TURMAP2[[#This Row],[TolType]]&lt;&gt;"",TUR(TURMAP2[[#This Row],[Tolerance]],TURMAP2[[#This Row],[TolType]],TURMAP2[[#This Row],[ToleranceB]],TURMAP2[[#This Row],[Uncertainty]],TURMAP2[[#This Row],[Expected]]),"")</f>
        <v>5.000000000002558</v>
      </c>
      <c r="T11" s="152" cm="1">
        <f t="array" ref="T11">TOL_DISPLAY_1(TURMAP2[[#This Row],[AL]],TURMAP2[[#This Row],[AU]],TURMAP2[[#This Row],[TolType]])</f>
        <v>49.994999999999997</v>
      </c>
      <c r="U11" s="150" t="str">
        <f>IF(TURMAP2[[#This Row],[TolType]]&lt;&gt;"",TURMAP2[[#This Row],[TolType]],"")</f>
        <v>to</v>
      </c>
      <c r="V11" s="154" cm="1">
        <f t="array" ref="V11">IF(TURMAP2[[#This Row],[TolType]]&lt;&gt;"", TOL_DISPLAY_2(TURMAP2[[#This Row],[AL]],TURMAP2[[#This Row],[AU]],TURMAP2[[#This Row],[TolType]]), "")</f>
        <v>50.005000000000003</v>
      </c>
      <c r="W11" s="99" t="s">
        <v>201</v>
      </c>
      <c r="X11" s="99"/>
      <c r="Y11" s="99"/>
      <c r="Z11" s="92" t="s">
        <v>488</v>
      </c>
      <c r="AB11" s="100" cm="1">
        <f t="array" ref="AB11">TOL_LOWER_LIMIT(TURMAP2[[#This Row],[Tolerance]],TURMAP2[[#This Row],[TolType]],TURMAP2[[#This Row],[ToleranceB]])</f>
        <v>49.994999999999997</v>
      </c>
      <c r="AC11" s="100" cm="1">
        <f t="array" ref="AC11">TOL_UPPER_LIMIT(TURMAP2[[#This Row],[Tolerance]],TURMAP2[[#This Row],[TolType]],TURMAP2[[#This Row],[ToleranceB]])</f>
        <v>50.005000000000003</v>
      </c>
      <c r="AD11" s="100" t="b" cm="1">
        <f t="array" ref="AD11">GB_NEEDED("RDS",TURMAP2[[#This Row],[TUR]],0,TURMAP2[[#This Row],[Criticality]])</f>
        <v>0</v>
      </c>
      <c r="AE11" s="100" cm="1">
        <f t="array" ref="AE11">IF(TURMAP2[[#This Row],[Guardband]],GBW_RDS(TURMAP2[[#This Row],[TUR]],TURMAP2[[#This Row],[Uncertainty]],TURMAP2[[#This Row],[TL]],TURMAP2[[#This Row],[TU]]),0)</f>
        <v>0</v>
      </c>
      <c r="AF11" s="100">
        <f>TURMAP2[[#This Row],[TL]]+TURMAP2[[#This Row],[GBW]]</f>
        <v>49.994999999999997</v>
      </c>
      <c r="AG11" s="98">
        <f>TURMAP2[[#This Row],[TU]]-TURMAP2[[#This Row],[GBW]]</f>
        <v>50.005000000000003</v>
      </c>
    </row>
    <row r="12" spans="2:34" s="97" customFormat="1" ht="36.75" customHeight="1" x14ac:dyDescent="0.35">
      <c r="B12" s="93" t="s">
        <v>270</v>
      </c>
      <c r="C12" s="133"/>
      <c r="D12" s="93">
        <v>1</v>
      </c>
      <c r="E12" s="93">
        <v>2.7</v>
      </c>
      <c r="F12" s="93">
        <v>2.67</v>
      </c>
      <c r="G12" s="93" t="s">
        <v>2</v>
      </c>
      <c r="H12" s="93">
        <v>2.77</v>
      </c>
      <c r="I12" s="93" t="s">
        <v>33</v>
      </c>
      <c r="J12" s="133" t="s">
        <v>32</v>
      </c>
      <c r="K12" s="168"/>
      <c r="L12" s="93" t="s">
        <v>1</v>
      </c>
      <c r="M12" s="148" cm="1">
        <f t="array" ref="M12">_xlfn.LET(_xlpm.equip,EQUIPMENT_LOOKUP(TURMAP2[[#This Row],[Equipment]],TURMAP2[[#This Row],[Range]],TURMAP2[[#This Row],[Expected]]),
    IF(_xlpm.equip&gt;0,
       _xlpm.equip,
       _xlfn.LET(_xlpm.toltype, _xlfn.XLOOKUP(TURMAP2[[#This Row],[Equipment]],TURMAP2[Name],TURMAP2[TolType],""),
           _xlpm.tol, _xlfn.XLOOKUP(TURMAP2[[#This Row],[Equipment]],TURMAP2[Name],TURMAP2[ToleranceB],0),
           IF(_xlpm.toltype="±", _xlpm.tol, 0)
       )
    )
)</f>
        <v>0</v>
      </c>
      <c r="N12" s="180" cm="1">
        <f t="array" ref="N12">_xlfn.LET(_xlpm.equiprel, _xlfn.XLOOKUP(1, (EquipmentSpecs[Equipment/Function]=TURMAP2[Equipment])*(EquipmentSpecs[Range Name]=TURMAP2[Range]), EquipmentSpecs[Reliability], 0),
    IF(_xlpm.equiprel&gt;0,
        _xlpm.equiprel,
        0.9545
    )
)</f>
        <v>0.95450000000000002</v>
      </c>
      <c r="O12" s="93">
        <v>0</v>
      </c>
      <c r="P12" s="93">
        <v>0.01</v>
      </c>
      <c r="Q12" s="174" cm="1">
        <f t="array" ref="Q12">_xlfn.LET(
    _xlpm.mtestd, SIGMA_FROM_ITP(0,-TURMAP2[[#This Row],[Accuracy]],TURMAP2[[#This Row],[Accuracy]],TURMAP2[[#This Row],[MTEReliability]]),
    _xlpm.accuracy, IF(ISNUMBER(_xlpm.mtestd), 2*_xlpm.mtestd, 0),
    SQRT(SUMSQ(_xlpm.accuracy, TURMAP2[[#This Row],[TypeA]], TURMAP2[[#This Row],[OtherUnc]]))
)</f>
        <v>0.01</v>
      </c>
      <c r="R12" s="93" t="s">
        <v>33</v>
      </c>
      <c r="S12" s="153" cm="1">
        <f t="array" ref="S12">IF(TURMAP2[[#This Row],[TolType]]&lt;&gt;"",TUR(TURMAP2[[#This Row],[Tolerance]],TURMAP2[[#This Row],[TolType]],TURMAP2[[#This Row],[ToleranceB]],TURMAP2[[#This Row],[Uncertainty]],TURMAP2[[#This Row],[Expected]]),"")</f>
        <v>5.0000000000000044</v>
      </c>
      <c r="T12" s="176" cm="1">
        <f t="array" ref="T12">TOL_DISPLAY_1(TURMAP2[[#This Row],[AL]],TURMAP2[[#This Row],[AU]],TURMAP2[[#This Row],[TolType]])</f>
        <v>2.67</v>
      </c>
      <c r="U12" s="150" t="str">
        <f>IF(TURMAP2[[#This Row],[TolType]]&lt;&gt;"",TURMAP2[[#This Row],[TolType]],"")</f>
        <v>to</v>
      </c>
      <c r="V12" s="151" cm="1">
        <f t="array" ref="V12">IF(TURMAP2[[#This Row],[TolType]]&lt;&gt;"", TOL_DISPLAY_2(TURMAP2[[#This Row],[AL]],TURMAP2[[#This Row],[AU]],TURMAP2[[#This Row],[TolType]]), "")</f>
        <v>2.77</v>
      </c>
      <c r="W12" s="99" t="s">
        <v>201</v>
      </c>
      <c r="X12" s="101"/>
      <c r="Y12" s="101"/>
      <c r="Z12" s="92" t="s">
        <v>489</v>
      </c>
      <c r="AB12" s="100" cm="1">
        <f t="array" ref="AB12">TOL_LOWER_LIMIT(TURMAP2[[#This Row],[Tolerance]],TURMAP2[[#This Row],[TolType]],TURMAP2[[#This Row],[ToleranceB]])</f>
        <v>2.67</v>
      </c>
      <c r="AC12" s="100" cm="1">
        <f t="array" ref="AC12">TOL_UPPER_LIMIT(TURMAP2[[#This Row],[Tolerance]],TURMAP2[[#This Row],[TolType]],TURMAP2[[#This Row],[ToleranceB]])</f>
        <v>2.77</v>
      </c>
      <c r="AD12" s="100" t="b" cm="1">
        <f t="array" ref="AD12">GB_NEEDED("RDS",TURMAP2[[#This Row],[TUR]],0,TURMAP2[[#This Row],[Criticality]])</f>
        <v>0</v>
      </c>
      <c r="AE12" s="100" cm="1">
        <f t="array" ref="AE12">IF(TURMAP2[[#This Row],[Guardband]],GBW_RDS(TURMAP2[[#This Row],[TUR]],TURMAP2[[#This Row],[Uncertainty]],TURMAP2[[#This Row],[TL]],TURMAP2[[#This Row],[TU]]),0)</f>
        <v>0</v>
      </c>
      <c r="AF12" s="100">
        <f>TURMAP2[[#This Row],[TL]]+TURMAP2[[#This Row],[GBW]]</f>
        <v>2.67</v>
      </c>
      <c r="AG12" s="98">
        <f>TURMAP2[[#This Row],[TU]]-TURMAP2[[#This Row],[GBW]]</f>
        <v>2.77</v>
      </c>
    </row>
    <row r="13" spans="2:34" s="97" customFormat="1" ht="36.75" customHeight="1" x14ac:dyDescent="0.35">
      <c r="B13" s="93" t="s">
        <v>34</v>
      </c>
      <c r="C13" s="133" t="s">
        <v>271</v>
      </c>
      <c r="D13" s="93">
        <v>1</v>
      </c>
      <c r="E13" s="93">
        <v>13</v>
      </c>
      <c r="F13" s="93">
        <v>13</v>
      </c>
      <c r="G13" s="93" t="s">
        <v>1</v>
      </c>
      <c r="H13" s="93">
        <v>0.5</v>
      </c>
      <c r="I13" s="93" t="s">
        <v>35</v>
      </c>
      <c r="J13" s="133" t="s">
        <v>272</v>
      </c>
      <c r="K13" s="168"/>
      <c r="L13" s="93" t="s">
        <v>1</v>
      </c>
      <c r="M13" s="148" cm="1">
        <f t="array" ref="M13">_xlfn.LET(_xlpm.equip,EQUIPMENT_LOOKUP(TURMAP2[[#This Row],[Equipment]],TURMAP2[[#This Row],[Range]],TURMAP2[[#This Row],[Expected]]),
    IF(_xlpm.equip&gt;0,
       _xlpm.equip,
       _xlfn.LET(_xlpm.toltype, _xlfn.XLOOKUP(TURMAP2[[#This Row],[Equipment]],TURMAP2[Name],TURMAP2[TolType],""),
           _xlpm.tol, _xlfn.XLOOKUP(TURMAP2[[#This Row],[Equipment]],TURMAP2[Name],TURMAP2[ToleranceB],0),
           IF(_xlpm.toltype="±", _xlpm.tol, 0)
       )
    )
)</f>
        <v>0</v>
      </c>
      <c r="N13" s="180" cm="1">
        <f t="array" ref="N13">_xlfn.LET(_xlpm.equiprel, _xlfn.XLOOKUP(1, (EquipmentSpecs[Equipment/Function]=TURMAP2[Equipment])*(EquipmentSpecs[Range Name]=TURMAP2[Range]), EquipmentSpecs[Reliability], 0),
    IF(_xlpm.equiprel&gt;0,
        _xlpm.equiprel,
        0.9545
    )
)</f>
        <v>0.95450000000000002</v>
      </c>
      <c r="O13" s="93">
        <v>0</v>
      </c>
      <c r="P13" s="93">
        <v>0.8</v>
      </c>
      <c r="Q13" s="174" cm="1">
        <f t="array" ref="Q13">_xlfn.LET(
    _xlpm.mtestd, SIGMA_FROM_ITP(0,-TURMAP2[[#This Row],[Accuracy]],TURMAP2[[#This Row],[Accuracy]],TURMAP2[[#This Row],[MTEReliability]]),
    _xlpm.accuracy, IF(ISNUMBER(_xlpm.mtestd), 2*_xlpm.mtestd, 0),
    SQRT(SUMSQ(_xlpm.accuracy, TURMAP2[[#This Row],[TypeA]], TURMAP2[[#This Row],[OtherUnc]]))
)</f>
        <v>0.8</v>
      </c>
      <c r="R13" s="93" t="s">
        <v>35</v>
      </c>
      <c r="S13" s="155" cm="1">
        <f t="array" ref="S13">IF(TURMAP2[[#This Row],[TolType]]&lt;&gt;"",TUR(TURMAP2[[#This Row],[Tolerance]],TURMAP2[[#This Row],[TolType]],TURMAP2[[#This Row],[ToleranceB]],TURMAP2[[#This Row],[Uncertainty]],TURMAP2[[#This Row],[Expected]]),"")</f>
        <v>0.625</v>
      </c>
      <c r="T13" s="153" cm="1">
        <f t="array" ref="T13">TOL_DISPLAY_1(TURMAP2[[#This Row],[AL]],TURMAP2[[#This Row],[AU]],TURMAP2[[#This Row],[TolType]])</f>
        <v>13</v>
      </c>
      <c r="U13" s="150" t="str">
        <f>IF(TURMAP2[[#This Row],[TolType]]&lt;&gt;"",TURMAP2[[#This Row],[TolType]],"")</f>
        <v>±</v>
      </c>
      <c r="V13" s="154" cm="1">
        <f t="array" ref="V13">IF(TURMAP2[[#This Row],[TolType]]&lt;&gt;"", TOL_DISPLAY_2(TURMAP2[[#This Row],[AL]],TURMAP2[[#This Row],[AU]],TURMAP2[[#This Row],[TolType]]), "")</f>
        <v>0</v>
      </c>
      <c r="W13" s="99" t="s">
        <v>201</v>
      </c>
      <c r="X13" s="96"/>
      <c r="Y13" s="96"/>
      <c r="Z13" s="92" t="s">
        <v>490</v>
      </c>
      <c r="AB13" s="98" cm="1">
        <f t="array" ref="AB13">TOL_LOWER_LIMIT(TURMAP2[[#This Row],[Tolerance]],TURMAP2[[#This Row],[TolType]],TURMAP2[[#This Row],[ToleranceB]])</f>
        <v>12.5</v>
      </c>
      <c r="AC13" s="98" cm="1">
        <f t="array" ref="AC13">TOL_UPPER_LIMIT(TURMAP2[[#This Row],[Tolerance]],TURMAP2[[#This Row],[TolType]],TURMAP2[[#This Row],[ToleranceB]])</f>
        <v>13.5</v>
      </c>
      <c r="AD13" s="98" t="b" cm="1">
        <f t="array" ref="AD13">GB_NEEDED("RDS",TURMAP2[[#This Row],[TUR]],0,TURMAP2[[#This Row],[Criticality]])</f>
        <v>1</v>
      </c>
      <c r="AE13" s="98" cm="1">
        <f t="array" ref="AE13">IF(TURMAP2[[#This Row],[Guardband]],GBW_RDS(TURMAP2[[#This Row],[TUR]],TURMAP2[[#This Row],[Uncertainty]],TURMAP2[[#This Row],[TL]],TURMAP2[[#This Row],[TU]]),0)</f>
        <v>0.5</v>
      </c>
      <c r="AF13" s="98">
        <f>TURMAP2[[#This Row],[TL]]+TURMAP2[[#This Row],[GBW]]</f>
        <v>13</v>
      </c>
      <c r="AG13" s="98">
        <f>TURMAP2[[#This Row],[TU]]-TURMAP2[[#This Row],[GBW]]</f>
        <v>13</v>
      </c>
    </row>
    <row r="14" spans="2:34" s="97" customFormat="1" ht="36.75" customHeight="1" x14ac:dyDescent="0.35">
      <c r="B14" s="93" t="s">
        <v>214</v>
      </c>
      <c r="C14" s="133"/>
      <c r="D14" s="93">
        <v>1</v>
      </c>
      <c r="E14" s="93">
        <v>10</v>
      </c>
      <c r="F14" s="93"/>
      <c r="G14" s="93" t="s">
        <v>3</v>
      </c>
      <c r="H14" s="93">
        <v>12</v>
      </c>
      <c r="I14" s="93" t="s">
        <v>25</v>
      </c>
      <c r="J14" s="133" t="s">
        <v>273</v>
      </c>
      <c r="K14" s="168"/>
      <c r="L14" s="93" t="s">
        <v>1</v>
      </c>
      <c r="M14" s="148" cm="1">
        <f t="array" ref="M14">_xlfn.LET(_xlpm.equip,EQUIPMENT_LOOKUP(TURMAP2[[#This Row],[Equipment]],TURMAP2[[#This Row],[Range]],TURMAP2[[#This Row],[Expected]]),
    IF(_xlpm.equip&gt;0,
       _xlpm.equip,
       _xlfn.LET(_xlpm.toltype, _xlfn.XLOOKUP(TURMAP2[[#This Row],[Equipment]],TURMAP2[Name],TURMAP2[TolType],""),
           _xlpm.tol, _xlfn.XLOOKUP(TURMAP2[[#This Row],[Equipment]],TURMAP2[Name],TURMAP2[ToleranceB],0),
           IF(_xlpm.toltype="±", _xlpm.tol, 0)
       )
    )
)</f>
        <v>0</v>
      </c>
      <c r="N14" s="180" cm="1">
        <f t="array" ref="N14">_xlfn.LET(_xlpm.equiprel, _xlfn.XLOOKUP(1, (EquipmentSpecs[Equipment/Function]=TURMAP2[Equipment])*(EquipmentSpecs[Range Name]=TURMAP2[Range]), EquipmentSpecs[Reliability], 0),
    IF(_xlpm.equiprel&gt;0,
        _xlpm.equiprel,
        0.9545
    )
)</f>
        <v>0.95450000000000002</v>
      </c>
      <c r="O14" s="93">
        <v>0</v>
      </c>
      <c r="P14" s="93">
        <v>0.5</v>
      </c>
      <c r="Q14" s="174" cm="1">
        <f t="array" ref="Q14">_xlfn.LET(
    _xlpm.mtestd, SIGMA_FROM_ITP(0,-TURMAP2[[#This Row],[Accuracy]],TURMAP2[[#This Row],[Accuracy]],TURMAP2[[#This Row],[MTEReliability]]),
    _xlpm.accuracy, IF(ISNUMBER(_xlpm.mtestd), 2*_xlpm.mtestd, 0),
    SQRT(SUMSQ(_xlpm.accuracy, TURMAP2[[#This Row],[TypeA]], TURMAP2[[#This Row],[OtherUnc]]))
)</f>
        <v>0.5</v>
      </c>
      <c r="R14" s="93" t="s">
        <v>25</v>
      </c>
      <c r="S14" s="149" cm="1">
        <f t="array" ref="S14">IF(TURMAP2[[#This Row],[TolType]]&lt;&gt;"",TUR(TURMAP2[[#This Row],[Tolerance]],TURMAP2[[#This Row],[TolType]],TURMAP2[[#This Row],[ToleranceB]],TURMAP2[[#This Row],[Uncertainty]],TURMAP2[[#This Row],[Expected]]),"")</f>
        <v>4</v>
      </c>
      <c r="T14" s="153" t="str" cm="1">
        <f t="array" ref="T14">TOL_DISPLAY_1(TURMAP2[[#This Row],[AL]],TURMAP2[[#This Row],[AU]],TURMAP2[[#This Row],[TolType]])</f>
        <v xml:space="preserve"> </v>
      </c>
      <c r="U14" s="150" t="str">
        <f>IF(TURMAP2[[#This Row],[TolType]]&lt;&gt;"",TURMAP2[[#This Row],[TolType]],"")</f>
        <v>max</v>
      </c>
      <c r="V14" s="156" cm="1">
        <f t="array" ref="V14">IF(TURMAP2[[#This Row],[TolType]]&lt;&gt;"", TOL_DISPLAY_2(TURMAP2[[#This Row],[AL]],TURMAP2[[#This Row],[AU]],TURMAP2[[#This Row],[TolType]]), "")</f>
        <v>12</v>
      </c>
      <c r="W14" s="99" t="s">
        <v>201</v>
      </c>
      <c r="X14" s="96"/>
      <c r="Y14" s="96"/>
      <c r="Z14" s="92" t="s">
        <v>491</v>
      </c>
      <c r="AB14" s="98" t="e" cm="1">
        <f t="array" ref="AB14">TOL_LOWER_LIMIT(TURMAP2[[#This Row],[Tolerance]],TURMAP2[[#This Row],[TolType]],TURMAP2[[#This Row],[ToleranceB]])</f>
        <v>#N/A</v>
      </c>
      <c r="AC14" s="98" cm="1">
        <f t="array" ref="AC14">TOL_UPPER_LIMIT(TURMAP2[[#This Row],[Tolerance]],TURMAP2[[#This Row],[TolType]],TURMAP2[[#This Row],[ToleranceB]])</f>
        <v>12</v>
      </c>
      <c r="AD14" s="98" t="b" cm="1">
        <f t="array" ref="AD14">GB_NEEDED("RDS",TURMAP2[[#This Row],[TUR]],0,TURMAP2[[#This Row],[Criticality]])</f>
        <v>0</v>
      </c>
      <c r="AE14" s="98" cm="1">
        <f t="array" ref="AE14">IF(TURMAP2[[#This Row],[Guardband]],GBW_RDS(TURMAP2[[#This Row],[TUR]],TURMAP2[[#This Row],[Uncertainty]],TURMAP2[[#This Row],[TL]],TURMAP2[[#This Row],[TU]]),0)</f>
        <v>0</v>
      </c>
      <c r="AF14" s="98" t="e">
        <f>TURMAP2[[#This Row],[TL]]+TURMAP2[[#This Row],[GBW]]</f>
        <v>#N/A</v>
      </c>
      <c r="AG14" s="98">
        <f>TURMAP2[[#This Row],[TU]]-TURMAP2[[#This Row],[GBW]]</f>
        <v>12</v>
      </c>
    </row>
    <row r="15" spans="2:34" s="97" customFormat="1" ht="36.75" customHeight="1" x14ac:dyDescent="0.35">
      <c r="B15" s="93" t="s">
        <v>214</v>
      </c>
      <c r="C15" s="133"/>
      <c r="D15" s="93">
        <v>1</v>
      </c>
      <c r="E15" s="93">
        <v>13</v>
      </c>
      <c r="F15" s="93"/>
      <c r="G15" s="93" t="s">
        <v>4</v>
      </c>
      <c r="H15" s="93">
        <v>12</v>
      </c>
      <c r="I15" s="93" t="s">
        <v>25</v>
      </c>
      <c r="J15" s="133" t="s">
        <v>273</v>
      </c>
      <c r="K15" s="168"/>
      <c r="L15" s="93" t="s">
        <v>1</v>
      </c>
      <c r="M15" s="148" cm="1">
        <f t="array" ref="M15">_xlfn.LET(_xlpm.equip,EQUIPMENT_LOOKUP(TURMAP2[[#This Row],[Equipment]],TURMAP2[[#This Row],[Range]],TURMAP2[[#This Row],[Expected]]),
    IF(_xlpm.equip&gt;0,
       _xlpm.equip,
       _xlfn.LET(_xlpm.toltype, _xlfn.XLOOKUP(TURMAP2[[#This Row],[Equipment]],TURMAP2[Name],TURMAP2[TolType],""),
           _xlpm.tol, _xlfn.XLOOKUP(TURMAP2[[#This Row],[Equipment]],TURMAP2[Name],TURMAP2[ToleranceB],0),
           IF(_xlpm.toltype="±", _xlpm.tol, 0)
       )
    )
)</f>
        <v>0</v>
      </c>
      <c r="N15" s="180" cm="1">
        <f t="array" ref="N15">_xlfn.LET(_xlpm.equiprel, _xlfn.XLOOKUP(1, (EquipmentSpecs[Equipment/Function]=TURMAP2[Equipment])*(EquipmentSpecs[Range Name]=TURMAP2[Range]), EquipmentSpecs[Reliability], 0),
    IF(_xlpm.equiprel&gt;0,
        _xlpm.equiprel,
        0.9545
    )
)</f>
        <v>0.95450000000000002</v>
      </c>
      <c r="O15" s="93">
        <v>0</v>
      </c>
      <c r="P15" s="93">
        <v>0.5</v>
      </c>
      <c r="Q15" s="174" cm="1">
        <f t="array" ref="Q15">_xlfn.LET(
    _xlpm.mtestd, SIGMA_FROM_ITP(0,-TURMAP2[[#This Row],[Accuracy]],TURMAP2[[#This Row],[Accuracy]],TURMAP2[[#This Row],[MTEReliability]]),
    _xlpm.accuracy, IF(ISNUMBER(_xlpm.mtestd), 2*_xlpm.mtestd, 0),
    SQRT(SUMSQ(_xlpm.accuracy, TURMAP2[[#This Row],[TypeA]], TURMAP2[[#This Row],[OtherUnc]]))
)</f>
        <v>0.5</v>
      </c>
      <c r="R15" s="93" t="s">
        <v>25</v>
      </c>
      <c r="S15" s="153" cm="1">
        <f t="array" ref="S15">IF(TURMAP2[[#This Row],[TolType]]&lt;&gt;"",TUR(TURMAP2[[#This Row],[Tolerance]],TURMAP2[[#This Row],[TolType]],TURMAP2[[#This Row],[ToleranceB]],TURMAP2[[#This Row],[Uncertainty]],TURMAP2[[#This Row],[Expected]]),"")</f>
        <v>2</v>
      </c>
      <c r="T15" s="153" t="str" cm="1">
        <f t="array" ref="T15">TOL_DISPLAY_1(TURMAP2[[#This Row],[AL]],TURMAP2[[#This Row],[AU]],TURMAP2[[#This Row],[TolType]])</f>
        <v xml:space="preserve"> </v>
      </c>
      <c r="U15" s="150" t="str">
        <f>IF(TURMAP2[[#This Row],[TolType]]&lt;&gt;"",TURMAP2[[#This Row],[TolType]],"")</f>
        <v>min</v>
      </c>
      <c r="V15" s="156" cm="1">
        <f t="array" ref="V15">IF(TURMAP2[[#This Row],[TolType]]&lt;&gt;"", TOL_DISPLAY_2(TURMAP2[[#This Row],[AL]],TURMAP2[[#This Row],[AU]],TURMAP2[[#This Row],[TolType]]), "")</f>
        <v>12.133974596215561</v>
      </c>
      <c r="W15" s="99" t="s">
        <v>201</v>
      </c>
      <c r="X15" s="96"/>
      <c r="Y15" s="96"/>
      <c r="Z15" s="92" t="s">
        <v>492</v>
      </c>
      <c r="AB15" s="98" cm="1">
        <f t="array" ref="AB15">TOL_LOWER_LIMIT(TURMAP2[[#This Row],[Tolerance]],TURMAP2[[#This Row],[TolType]],TURMAP2[[#This Row],[ToleranceB]])</f>
        <v>12</v>
      </c>
      <c r="AC15" s="98" t="e" cm="1">
        <f t="array" ref="AC15">TOL_UPPER_LIMIT(TURMAP2[[#This Row],[Tolerance]],TURMAP2[[#This Row],[TolType]],TURMAP2[[#This Row],[ToleranceB]])</f>
        <v>#N/A</v>
      </c>
      <c r="AD15" s="98" t="b" cm="1">
        <f t="array" ref="AD15">GB_NEEDED("RDS",TURMAP2[[#This Row],[TUR]],0,TURMAP2[[#This Row],[Criticality]])</f>
        <v>1</v>
      </c>
      <c r="AE15" s="98" cm="1">
        <f t="array" ref="AE15">IF(TURMAP2[[#This Row],[Guardband]],GBW_RDS(TURMAP2[[#This Row],[TUR]],TURMAP2[[#This Row],[Uncertainty]],TURMAP2[[#This Row],[TL]],TURMAP2[[#This Row],[TU]]),0)</f>
        <v>0.1339745962155614</v>
      </c>
      <c r="AF15" s="98">
        <f>TURMAP2[[#This Row],[TL]]+TURMAP2[[#This Row],[GBW]]</f>
        <v>12.133974596215561</v>
      </c>
      <c r="AG15" s="98" t="e">
        <f>TURMAP2[[#This Row],[TU]]-TURMAP2[[#This Row],[GBW]]</f>
        <v>#N/A</v>
      </c>
    </row>
    <row r="17" spans="5:23" x14ac:dyDescent="0.35">
      <c r="M17" s="82" t="s">
        <v>274</v>
      </c>
    </row>
    <row r="18" spans="5:23" x14ac:dyDescent="0.35">
      <c r="N18" s="82" t="s">
        <v>269</v>
      </c>
      <c r="O18" s="3"/>
      <c r="P18" s="3"/>
      <c r="Q18" s="3"/>
    </row>
    <row r="19" spans="5:23" x14ac:dyDescent="0.35">
      <c r="O19" s="82" t="s">
        <v>361</v>
      </c>
    </row>
    <row r="20" spans="5:23" x14ac:dyDescent="0.35">
      <c r="P20" s="82" t="s">
        <v>362</v>
      </c>
    </row>
    <row r="21" spans="5:23" x14ac:dyDescent="0.35">
      <c r="M21" s="3"/>
      <c r="N21" s="3"/>
      <c r="Q21" s="82" t="s">
        <v>249</v>
      </c>
    </row>
    <row r="23" spans="5:23" x14ac:dyDescent="0.35">
      <c r="W23" s="82" t="s">
        <v>316</v>
      </c>
    </row>
    <row r="24" spans="5:23" x14ac:dyDescent="0.35">
      <c r="E24" s="181"/>
    </row>
  </sheetData>
  <mergeCells count="10">
    <mergeCell ref="C2:I2"/>
    <mergeCell ref="C3:I3"/>
    <mergeCell ref="C4:I4"/>
    <mergeCell ref="C5:I5"/>
    <mergeCell ref="B7:I7"/>
    <mergeCell ref="F8:H8"/>
    <mergeCell ref="T8:V8"/>
    <mergeCell ref="J7:R7"/>
    <mergeCell ref="W7:Y7"/>
    <mergeCell ref="S7:V7"/>
  </mergeCells>
  <phoneticPr fontId="8" type="noConversion"/>
  <conditionalFormatting sqref="I10:I15">
    <cfRule type="expression" dxfId="9" priority="2">
      <formula>$I10&lt;&gt;$R10</formula>
    </cfRule>
  </conditionalFormatting>
  <conditionalFormatting sqref="R10:R15">
    <cfRule type="expression" dxfId="8" priority="1">
      <formula>$I10&lt;&gt;$R10</formula>
    </cfRule>
  </conditionalFormatting>
  <conditionalFormatting sqref="S10:V15">
    <cfRule type="expression" dxfId="7" priority="7">
      <formula>$AD10</formula>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77307598-FF10-4B74-A6D6-DEA0A2B76FC0}">
          <x14:formula1>
            <xm:f>'Criticality Levels'!$B$4:$B$8</xm:f>
          </x14:formula1>
          <xm:sqref>D10:D15</xm:sqref>
        </x14:dataValidation>
        <x14:dataValidation type="list" allowBlank="1" showInputMessage="1" showErrorMessage="1" xr:uid="{33B72170-ABC7-41B3-B866-FC4E64DAEF49}">
          <x14:formula1>
            <xm:f>Lookup!$A$2:$A$5</xm:f>
          </x14:formula1>
          <xm:sqref>G10:G15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9C2AA-839B-46BE-BB20-85B7DAA33EF9}">
  <sheetPr codeName="Sheet2"/>
  <dimension ref="B1:AO35"/>
  <sheetViews>
    <sheetView showGridLines="0" zoomScale="85" zoomScaleNormal="85" workbookViewId="0">
      <pane ySplit="9" topLeftCell="A10" activePane="bottomLeft" state="frozen"/>
      <selection pane="bottomLeft" activeCell="B10" sqref="B10:B16"/>
    </sheetView>
  </sheetViews>
  <sheetFormatPr defaultColWidth="9.1796875" defaultRowHeight="14.5" x14ac:dyDescent="0.35"/>
  <cols>
    <col min="1" max="1" width="1.1796875" style="3" customWidth="1"/>
    <col min="2" max="2" width="20" style="3" customWidth="1"/>
    <col min="3" max="3" width="15.7265625" style="3" customWidth="1"/>
    <col min="4" max="4" width="11.1796875" style="3" customWidth="1"/>
    <col min="5" max="5" width="10.7265625" style="3" customWidth="1"/>
    <col min="6" max="6" width="8" style="3" customWidth="1"/>
    <col min="7" max="7" width="4" style="3" customWidth="1"/>
    <col min="8" max="8" width="7.81640625" style="3" customWidth="1"/>
    <col min="9" max="9" width="5.7265625" style="3" customWidth="1"/>
    <col min="10" max="10" width="11.453125" style="3" customWidth="1"/>
    <col min="11" max="11" width="19.1796875" style="3" customWidth="1"/>
    <col min="12" max="12" width="12" style="3" customWidth="1"/>
    <col min="13" max="13" width="2.54296875" style="3" customWidth="1"/>
    <col min="14" max="14" width="12.26953125" style="3" customWidth="1"/>
    <col min="15" max="15" width="11.1796875" style="3" customWidth="1"/>
    <col min="16" max="16" width="12.26953125" style="3" customWidth="1"/>
    <col min="17" max="17" width="12.1796875" style="3" customWidth="1"/>
    <col min="18" max="18" width="13.26953125" style="3" customWidth="1"/>
    <col min="19" max="20" width="7.26953125" style="3" customWidth="1"/>
    <col min="21" max="21" width="16.26953125" style="281" customWidth="1"/>
    <col min="22" max="22" width="12.1796875" style="3" customWidth="1"/>
    <col min="23" max="23" width="7.26953125" style="3" customWidth="1"/>
    <col min="24" max="24" width="5.453125" style="3" customWidth="1"/>
    <col min="25" max="25" width="9" style="3" customWidth="1"/>
    <col min="26" max="26" width="13.81640625" style="3" customWidth="1"/>
    <col min="27" max="27" width="15.26953125" style="3" customWidth="1"/>
    <col min="28" max="28" width="15.7265625" style="3" customWidth="1"/>
    <col min="29" max="29" width="11.7265625" style="3" customWidth="1"/>
    <col min="30" max="30" width="9.26953125" style="3" customWidth="1"/>
    <col min="31" max="31" width="11.81640625" style="3" customWidth="1"/>
    <col min="32" max="32" width="66.54296875" style="3" customWidth="1"/>
    <col min="33" max="33" width="4.81640625" style="3" hidden="1" customWidth="1"/>
    <col min="34" max="34" width="9.81640625" style="3" hidden="1" customWidth="1"/>
    <col min="35" max="35" width="10.1796875" style="3" hidden="1" customWidth="1"/>
    <col min="36" max="36" width="11.1796875" style="3" hidden="1" customWidth="1"/>
    <col min="37" max="40" width="12.26953125" style="3" hidden="1" customWidth="1"/>
    <col min="41" max="43" width="9.1796875" style="3"/>
    <col min="44" max="44" width="12" style="3" bestFit="1" customWidth="1"/>
    <col min="45" max="16384" width="9.1796875" style="3"/>
  </cols>
  <sheetData>
    <row r="1" spans="2:41" ht="6.75" customHeight="1" x14ac:dyDescent="0.35"/>
    <row r="2" spans="2:41" ht="15.75" customHeight="1" x14ac:dyDescent="0.35">
      <c r="B2" s="83" t="s">
        <v>37</v>
      </c>
      <c r="C2" s="347" t="s">
        <v>174</v>
      </c>
      <c r="D2" s="347"/>
      <c r="E2" s="347"/>
      <c r="F2" s="347"/>
      <c r="G2" s="347"/>
      <c r="H2" s="347"/>
      <c r="I2" s="347"/>
      <c r="J2" s="347"/>
      <c r="AO2" s="84" t="s">
        <v>202</v>
      </c>
    </row>
    <row r="3" spans="2:41" ht="15.75" customHeight="1" x14ac:dyDescent="0.35">
      <c r="B3" s="83" t="s">
        <v>38</v>
      </c>
      <c r="C3" s="347"/>
      <c r="D3" s="347"/>
      <c r="E3" s="347"/>
      <c r="F3" s="347"/>
      <c r="G3" s="347"/>
      <c r="H3" s="347"/>
      <c r="I3" s="347"/>
      <c r="J3" s="347"/>
    </row>
    <row r="4" spans="2:41" ht="15.75" customHeight="1" x14ac:dyDescent="0.35">
      <c r="B4" s="83" t="s">
        <v>39</v>
      </c>
      <c r="C4" s="347"/>
      <c r="D4" s="347"/>
      <c r="E4" s="347"/>
      <c r="F4" s="347"/>
      <c r="G4" s="347"/>
      <c r="H4" s="347"/>
      <c r="I4" s="347"/>
      <c r="J4" s="347"/>
    </row>
    <row r="5" spans="2:41" ht="15.75" customHeight="1" x14ac:dyDescent="0.35">
      <c r="B5" s="83" t="s">
        <v>40</v>
      </c>
      <c r="C5" s="347"/>
      <c r="D5" s="347"/>
      <c r="E5" s="347"/>
      <c r="F5" s="347"/>
      <c r="G5" s="347"/>
      <c r="H5" s="347"/>
      <c r="I5" s="347"/>
      <c r="J5" s="347"/>
    </row>
    <row r="7" spans="2:41" ht="32.25" customHeight="1" x14ac:dyDescent="0.35">
      <c r="B7" s="340" t="s">
        <v>260</v>
      </c>
      <c r="C7" s="341"/>
      <c r="D7" s="341"/>
      <c r="E7" s="341"/>
      <c r="F7" s="341"/>
      <c r="G7" s="341"/>
      <c r="H7" s="341"/>
      <c r="I7" s="341"/>
      <c r="J7" s="348"/>
      <c r="K7" s="343" t="s">
        <v>264</v>
      </c>
      <c r="L7" s="341"/>
      <c r="M7" s="341"/>
      <c r="N7" s="341"/>
      <c r="O7" s="341"/>
      <c r="P7" s="341"/>
      <c r="Q7" s="341"/>
      <c r="R7" s="341"/>
      <c r="S7" s="341"/>
      <c r="T7" s="343" t="s">
        <v>261</v>
      </c>
      <c r="U7" s="342"/>
      <c r="V7" s="342"/>
      <c r="W7" s="342"/>
      <c r="X7" s="342"/>
      <c r="Y7" s="342"/>
      <c r="Z7" s="342"/>
      <c r="AA7" s="342"/>
      <c r="AB7" s="342"/>
      <c r="AC7" s="343" t="s">
        <v>277</v>
      </c>
      <c r="AD7" s="342"/>
      <c r="AE7" s="344"/>
      <c r="AF7" s="144" t="s">
        <v>19</v>
      </c>
    </row>
    <row r="8" spans="2:41" ht="48.75" customHeight="1" x14ac:dyDescent="0.35">
      <c r="B8" s="113" t="s">
        <v>10</v>
      </c>
      <c r="C8" s="114" t="s">
        <v>11</v>
      </c>
      <c r="D8" s="114" t="s">
        <v>14</v>
      </c>
      <c r="E8" s="114" t="s">
        <v>13</v>
      </c>
      <c r="F8" s="338" t="s">
        <v>12</v>
      </c>
      <c r="G8" s="338"/>
      <c r="H8" s="338"/>
      <c r="I8" s="114" t="s">
        <v>15</v>
      </c>
      <c r="J8" s="115" t="s">
        <v>377</v>
      </c>
      <c r="K8" s="111" t="s">
        <v>187</v>
      </c>
      <c r="L8" s="114" t="s">
        <v>234</v>
      </c>
      <c r="M8" s="139"/>
      <c r="N8" s="114" t="s">
        <v>320</v>
      </c>
      <c r="O8" s="114" t="s">
        <v>321</v>
      </c>
      <c r="P8" s="114" t="s">
        <v>224</v>
      </c>
      <c r="Q8" s="114" t="s">
        <v>225</v>
      </c>
      <c r="R8" s="114" t="s">
        <v>220</v>
      </c>
      <c r="S8" s="114" t="s">
        <v>15</v>
      </c>
      <c r="T8" s="116" t="s">
        <v>16</v>
      </c>
      <c r="U8" s="282" t="s">
        <v>326</v>
      </c>
      <c r="V8" s="102" t="s">
        <v>17</v>
      </c>
      <c r="W8" s="346" t="s">
        <v>18</v>
      </c>
      <c r="X8" s="346"/>
      <c r="Y8" s="346"/>
      <c r="Z8" s="129" t="s">
        <v>327</v>
      </c>
      <c r="AA8" s="102" t="s">
        <v>167</v>
      </c>
      <c r="AB8" s="289" t="s">
        <v>478</v>
      </c>
      <c r="AC8" s="102" t="s">
        <v>200</v>
      </c>
      <c r="AD8" s="116" t="s">
        <v>246</v>
      </c>
      <c r="AE8" s="116" t="s">
        <v>247</v>
      </c>
      <c r="AF8" s="102"/>
      <c r="AH8" s="4" t="s">
        <v>21</v>
      </c>
      <c r="AI8" s="4" t="s">
        <v>22</v>
      </c>
      <c r="AJ8" s="4" t="s">
        <v>20</v>
      </c>
      <c r="AK8" s="4" t="s">
        <v>212</v>
      </c>
      <c r="AL8" s="4" t="s">
        <v>189</v>
      </c>
      <c r="AM8" s="4" t="s">
        <v>23</v>
      </c>
      <c r="AN8" s="4" t="s">
        <v>24</v>
      </c>
    </row>
    <row r="9" spans="2:41" s="4" customFormat="1" ht="60" hidden="1" customHeight="1" x14ac:dyDescent="0.35">
      <c r="B9" s="146" t="s">
        <v>203</v>
      </c>
      <c r="C9" s="146" t="s">
        <v>184</v>
      </c>
      <c r="D9" s="146" t="s">
        <v>183</v>
      </c>
      <c r="E9" s="146" t="s">
        <v>186</v>
      </c>
      <c r="F9" s="179" t="s">
        <v>204</v>
      </c>
      <c r="G9" s="179" t="s">
        <v>178</v>
      </c>
      <c r="H9" s="179" t="s">
        <v>205</v>
      </c>
      <c r="I9" s="146" t="s">
        <v>15</v>
      </c>
      <c r="J9" s="91" t="s">
        <v>82</v>
      </c>
      <c r="K9" s="104" t="s">
        <v>187</v>
      </c>
      <c r="L9" s="169" t="s">
        <v>232</v>
      </c>
      <c r="M9" s="145" t="s">
        <v>1</v>
      </c>
      <c r="N9" s="146" t="s">
        <v>221</v>
      </c>
      <c r="O9" s="146" t="s">
        <v>267</v>
      </c>
      <c r="P9" s="146" t="s">
        <v>244</v>
      </c>
      <c r="Q9" s="146" t="s">
        <v>245</v>
      </c>
      <c r="R9" s="167" t="s">
        <v>90</v>
      </c>
      <c r="S9" s="167" t="s">
        <v>180</v>
      </c>
      <c r="T9" s="105" t="s">
        <v>16</v>
      </c>
      <c r="U9" s="283" t="s">
        <v>6</v>
      </c>
      <c r="V9" s="105" t="s">
        <v>206</v>
      </c>
      <c r="W9" s="106" t="s">
        <v>207</v>
      </c>
      <c r="X9" s="106" t="s">
        <v>182</v>
      </c>
      <c r="Y9" s="106" t="s">
        <v>181</v>
      </c>
      <c r="Z9" s="106" t="s">
        <v>324</v>
      </c>
      <c r="AA9" s="105" t="s">
        <v>208</v>
      </c>
      <c r="AB9" s="105" t="s">
        <v>328</v>
      </c>
      <c r="AC9" s="105" t="s">
        <v>213</v>
      </c>
      <c r="AD9" s="105" t="s">
        <v>258</v>
      </c>
      <c r="AE9" s="105" t="s">
        <v>259</v>
      </c>
      <c r="AF9" s="105" t="s">
        <v>19</v>
      </c>
      <c r="AG9" s="107" t="s">
        <v>176</v>
      </c>
      <c r="AH9" s="108" t="s">
        <v>195</v>
      </c>
      <c r="AI9" s="108" t="s">
        <v>194</v>
      </c>
      <c r="AJ9" s="108" t="s">
        <v>209</v>
      </c>
      <c r="AK9" s="108" t="s">
        <v>211</v>
      </c>
      <c r="AL9" s="108" t="s">
        <v>196</v>
      </c>
      <c r="AM9" s="108" t="s">
        <v>197</v>
      </c>
      <c r="AN9" s="108" t="s">
        <v>198</v>
      </c>
    </row>
    <row r="10" spans="2:41" s="110" customFormat="1" ht="36.75" customHeight="1" x14ac:dyDescent="0.35">
      <c r="B10" s="276" t="s">
        <v>318</v>
      </c>
      <c r="C10" s="132" t="s">
        <v>31</v>
      </c>
      <c r="D10" s="132">
        <v>1</v>
      </c>
      <c r="E10" s="286">
        <v>60.01</v>
      </c>
      <c r="F10" s="132">
        <v>60</v>
      </c>
      <c r="G10" s="132" t="s">
        <v>1</v>
      </c>
      <c r="H10" s="132">
        <v>0.1</v>
      </c>
      <c r="I10" s="93" t="s">
        <v>253</v>
      </c>
      <c r="J10" s="178">
        <v>0.95450000000000002</v>
      </c>
      <c r="K10" s="93" t="s">
        <v>263</v>
      </c>
      <c r="L10" s="274" t="s">
        <v>254</v>
      </c>
      <c r="M10" s="93" t="s">
        <v>1</v>
      </c>
      <c r="N10" s="174" cm="1">
        <f t="array" ref="N10">_xlfn.LET(_xlpm.equip,EQUIPMENT_LOOKUP(PFAMAP[[#This Row],[Equipment]],PFAMAP[[#This Row],[Range]],PFAMAP[[#This Row],[Expected]]),IF(_xlpm.equip&gt;0,_xlpm.equip,_xlfn.XLOOKUP(PFAMAP[[#This Row],[Equipment]],PFAMAP[Quantity],PFAMAP[stdev]*2,0)))</f>
        <v>3.8002999999999999E-3</v>
      </c>
      <c r="O10" s="325" cm="1">
        <f t="array" ref="O10">_xlfn.LET(_xlpm.equiprel, _xlfn.XLOOKUP(1, (EquipmentSpecs[Equipment/Function]=PFAMAP[Equipment])*(EquipmentSpecs[Range Name]=PFAMAP[Range]), EquipmentSpecs[Reliability], 0),
    IF(_xlpm.equiprel&gt;0,
        _xlpm.equiprel,
        _xlfn.XLOOKUP(PFAMAP[[#This Row],[Equipment]],PFAMAP[Quantity],PFAMAP[ITP],0.9545)
    )
)</f>
        <v>0.95450000000000002</v>
      </c>
      <c r="P10" s="93"/>
      <c r="Q10" s="93">
        <v>0.05</v>
      </c>
      <c r="R10" s="182" cm="1">
        <f t="array" ref="R10">_xlfn.LET(
    _xlpm.mtestd, SIGMA_FROM_ITP(0,-PFAMAP[[#This Row],[Accuracy]],PFAMAP[[#This Row],[Accuracy]],PFAMAP[[#This Row],[MTEReliability]]),
    _xlpm.accuracy, IF(ISNUMBER(_xlpm.mtestd), 2*_xlpm.mtestd, 0),
    SQRT(SUMSQ(_xlpm.accuracy, PFAMAP[[#This Row],[TypeA]], PFAMAP[[#This Row],[OtherUnc]]))
)</f>
        <v>5.0144214469812792E-2</v>
      </c>
      <c r="S10" s="93" t="s">
        <v>253</v>
      </c>
      <c r="T10" s="149" cm="1">
        <f t="array" ref="T10">TUR(PFAMAP[[#This Row],[TolA]],PFAMAP[[#This Row],[TolType]],PFAMAP[[#This Row],[TolB]],PFAMAP[[#This Row],[Uncertainty]],PFAMAP[[#This Row],[Expected]])</f>
        <v>1.9942480116066188</v>
      </c>
      <c r="U10" s="280" cm="1">
        <f t="array" ref="U10">PFA(PFAMAP[[#This Row],[TL]],PFAMAP[[#This Row],[TU]],PFAMAP[[#This Row],[TL]],PFAMAP[[#This Row],[TU]],PFAMAP[[#This Row],[Expected]],PFAMAP[[#This Row],[Uncertainty]]/2,PFAMAP[[#This Row],[stdev]])</f>
        <v>1.242882662639907E-2</v>
      </c>
      <c r="V10" s="175" t="s">
        <v>6</v>
      </c>
      <c r="W10" s="171" cm="1">
        <f t="array" ref="W10">IF(ISBLANK(PFAMAP[[#This Row],[GBOverride]]), TOL_DISPLAY_1(PFAMAP[[#This Row],[AL]],PFAMAP[[#This Row],[AU]],PFAMAP[[#This Row],[TolType]]),PFAMAP[[#This Row],[TolA]])</f>
        <v>60</v>
      </c>
      <c r="X10" s="170" t="str">
        <f>PFAMAP[[#This Row],[TolType]]</f>
        <v>±</v>
      </c>
      <c r="Y10" s="278" cm="1">
        <f t="array" ref="Y10">IF(ISBLANK(PFAMAP[[#This Row],[GBOverride]]), TOL_DISPLAY_2(PFAMAP[[#This Row],[AL]],PFAMAP[[#This Row],[AU]],PFAMAP[[#This Row],[TolType]]), PFAMAP[[#This Row],[TolB]])</f>
        <v>0.10000000000000142</v>
      </c>
      <c r="Z10" s="132"/>
      <c r="AA10" s="172" cm="1">
        <f t="array" ref="AA10">IF(PFAMAP[[#This Row],[Guardband]], PFA(PFAMAP[[#This Row],[TL]],PFAMAP[[#This Row],[TU]],PFAMAP[[#This Row],[AL]],PFAMAP[[#This Row],[AU]],PFAMAP[[#This Row],[Expected]],PFAMAP[[#This Row],[Uncertainty]]/2,PFAMAP[[#This Row],[stdev]]), PFAMAP[[#This Row],[PFA]])</f>
        <v>1.242882662639907E-2</v>
      </c>
      <c r="AB10" s="294" cm="1">
        <f t="array" ref="AB10">PFR(PFAMAP[[#This Row],[TL]],PFAMAP[[#This Row],[TU]],PFAMAP[[#This Row],[AL]],PFAMAP[[#This Row],[AU]],PFAMAP[[#This Row],[Expected]],PFAMAP[[#This Row],[Uncertainty]]/2,PFAMAP[[#This Row],[stdev]])</f>
        <v>4.0968729417965061E-2</v>
      </c>
      <c r="AC10" s="128" t="s">
        <v>201</v>
      </c>
      <c r="AD10" s="128"/>
      <c r="AE10" s="109"/>
      <c r="AF10" s="92" t="s">
        <v>479</v>
      </c>
      <c r="AG10" s="97"/>
      <c r="AH10" s="284" cm="1">
        <f t="array" ref="AH10">TOL_LOWER_LIMIT(PFAMAP[[#This Row],[TolA]],PFAMAP[[#This Row],[TolType]],PFAMAP[[#This Row],[TolB]])</f>
        <v>59.9</v>
      </c>
      <c r="AI10" s="284" cm="1">
        <f t="array" ref="AI10">TOL_UPPER_LIMIT(PFAMAP[[#This Row],[TolA]],PFAMAP[[#This Row],[TolType]],PFAMAP[[#This Row],[TolB]])</f>
        <v>60.1</v>
      </c>
      <c r="AJ10" s="284" cm="1">
        <f t="array" ref="AJ10">SIGMA_FROM_ITP(PFAMAP[[#This Row],[Expected]],PFAMAP[[#This Row],[TL]],PFAMAP[[#This Row],[TU]],PFAMAP[[#This Row],[ITP]])</f>
        <v>4.8997197945572508E-2</v>
      </c>
      <c r="AK10" s="100" t="b" cm="1">
        <f t="array" ref="AK10">GB_NEEDED(PFAMAP[[#This Row],[Gbmethod]],PFAMAP[[#This Row],[TUR]],PFAMAP[[#This Row],[PFA]],PFAMAP[[#This Row],[Criticality]])</f>
        <v>0</v>
      </c>
      <c r="AL10" s="100" cm="1">
        <f t="array" ref="AL10">IF(OR(PFAMAP[[#This Row],[Guardband]],PFAMAP[[#This Row],[GBOverride]]),
    IF(ISBLANK(PFAMAP[[#This Row],[GBOverride]]),
       GB_WIDTH(PFAMAP[[#This Row],[Gbmethod]],PFAMAP[[#This Row],[TUR]],PFAMAP[[#This Row],[TL]],PFAMAP[[#This Row],[TU]],PFAMAP[[#This Row],[Expected]],PFAMAP[[#This Row],[Uncertainty]],PFAMAP[[#This Row],[stdev]],PFAMAP[[#This Row],[Criticality]]),
       PFAMAP[[#This Row],[TU]]-TOL_UPPER_LIMIT(PFAMAP[[#This Row],[AcceptA]],PFAMAP[[#This Row],[AcceptType]],PFAMAP[[#This Row],[AcceptB]])
    ),
    0
)</f>
        <v>0</v>
      </c>
      <c r="AM10" s="100">
        <f>PFAMAP[[#This Row],[TL]]+PFAMAP[[#This Row],[GBW]]</f>
        <v>59.9</v>
      </c>
      <c r="AN10" s="100">
        <f>PFAMAP[[#This Row],[TU]]-PFAMAP[[#This Row],[GBW]]</f>
        <v>60.1</v>
      </c>
    </row>
    <row r="11" spans="2:41" s="110" customFormat="1" ht="36.75" customHeight="1" x14ac:dyDescent="0.35">
      <c r="B11" s="326" t="s">
        <v>319</v>
      </c>
      <c r="C11" s="93" t="s">
        <v>31</v>
      </c>
      <c r="D11" s="93">
        <v>1</v>
      </c>
      <c r="E11" s="285">
        <v>60</v>
      </c>
      <c r="F11" s="273">
        <v>60</v>
      </c>
      <c r="G11" s="93" t="s">
        <v>1</v>
      </c>
      <c r="H11" s="279">
        <v>0.25</v>
      </c>
      <c r="I11" s="93" t="s">
        <v>253</v>
      </c>
      <c r="J11" s="173">
        <v>0.8</v>
      </c>
      <c r="K11" s="275" t="s">
        <v>318</v>
      </c>
      <c r="L11" s="93"/>
      <c r="M11" s="93" t="s">
        <v>1</v>
      </c>
      <c r="N11" s="174" cm="1">
        <f t="array" ref="N11">_xlfn.LET(_xlpm.equip,EQUIPMENT_LOOKUP(PFAMAP[[#This Row],[Equipment]],PFAMAP[[#This Row],[Range]],PFAMAP[[#This Row],[Expected]]),IF(_xlpm.equip&gt;0,_xlpm.equip,_xlfn.XLOOKUP(PFAMAP[[#This Row],[Equipment]],PFAMAP[Quantity],PFAMAP[stdev]*2,0)))</f>
        <v>9.7994395891145017E-2</v>
      </c>
      <c r="O11" s="325" cm="1">
        <f t="array" ref="O11">_xlfn.LET(_xlpm.equiprel, _xlfn.XLOOKUP(1, (EquipmentSpecs[Equipment/Function]=PFAMAP[Equipment])*(EquipmentSpecs[Range Name]=PFAMAP[Range]), EquipmentSpecs[Reliability], 0),
    IF(_xlpm.equiprel&gt;0,
        _xlpm.equiprel,
        _xlfn.XLOOKUP(PFAMAP[[#This Row],[Equipment]],PFAMAP[Quantity],PFAMAP[ITP],0.9545)
    )
)</f>
        <v>0.95450000000000002</v>
      </c>
      <c r="P11" s="93"/>
      <c r="Q11" s="147">
        <v>0</v>
      </c>
      <c r="R11" s="182" cm="1">
        <f t="array" ref="R11">_xlfn.LET(
    _xlpm.mtestd, SIGMA_FROM_ITP(0,-PFAMAP[[#This Row],[Accuracy]],PFAMAP[[#This Row],[Accuracy]],PFAMAP[[#This Row],[MTEReliability]]),
    _xlpm.accuracy, IF(ISNUMBER(_xlpm.mtestd), 2*_xlpm.mtestd, 0),
    SQRT(SUMSQ(_xlpm.accuracy, PFAMAP[[#This Row],[TypeA]], PFAMAP[[#This Row],[OtherUnc]]))
)</f>
        <v>9.7994276147058745E-2</v>
      </c>
      <c r="S11" s="93" t="s">
        <v>253</v>
      </c>
      <c r="T11" s="149" cm="1">
        <f t="array" ref="T11">TUR(PFAMAP[[#This Row],[TolA]],PFAMAP[[#This Row],[TolType]],PFAMAP[[#This Row],[TolB]],PFAMAP[[#This Row],[Uncertainty]],PFAMAP[[#This Row],[Expected]])</f>
        <v>2.5511694134546006</v>
      </c>
      <c r="U11" s="280" cm="1">
        <f t="array" ref="U11">PFA(PFAMAP[[#This Row],[TL]],PFAMAP[[#This Row],[TU]],PFAMAP[[#This Row],[TL]],PFAMAP[[#This Row],[TU]],PFAMAP[[#This Row],[Expected]],PFAMAP[[#This Row],[Uncertainty]]/2,PFAMAP[[#This Row],[stdev]])</f>
        <v>2.8700927649427582E-2</v>
      </c>
      <c r="V11" s="175" t="s">
        <v>6</v>
      </c>
      <c r="W11" s="171" cm="1">
        <f t="array" ref="W11">IF(ISBLANK(PFAMAP[[#This Row],[GBOverride]]), TOL_DISPLAY_1(PFAMAP[[#This Row],[AL]],PFAMAP[[#This Row],[AU]],PFAMAP[[#This Row],[TolType]]),PFAMAP[[#This Row],[TolA]])</f>
        <v>60</v>
      </c>
      <c r="X11" s="170" t="str">
        <f>PFAMAP[[#This Row],[TolType]]</f>
        <v>±</v>
      </c>
      <c r="Y11" s="278" cm="1">
        <f t="array" ref="Y11">IF(ISBLANK(PFAMAP[[#This Row],[GBOverride]]), TOL_DISPLAY_2(PFAMAP[[#This Row],[AL]],PFAMAP[[#This Row],[AU]],PFAMAP[[#This Row],[TolType]]), PFAMAP[[#This Row],[TolB]])</f>
        <v>0.23607519434559521</v>
      </c>
      <c r="Z11" s="132"/>
      <c r="AA11" s="157" cm="1">
        <f t="array" ref="AA11">IF(PFAMAP[[#This Row],[Guardband]], PFA(PFAMAP[[#This Row],[TL]],PFAMAP[[#This Row],[TU]],PFAMAP[[#This Row],[AL]],PFAMAP[[#This Row],[AU]],PFAMAP[[#This Row],[Expected]],PFAMAP[[#This Row],[Uncertainty]]/2,PFAMAP[[#This Row],[stdev]]), PFAMAP[[#This Row],[PFA]])</f>
        <v>2.0000290509622598E-2</v>
      </c>
      <c r="AB11" s="294" cm="1">
        <f t="array" ref="AB11">PFR(PFAMAP[[#This Row],[TL]],PFAMAP[[#This Row],[TU]],PFAMAP[[#This Row],[AL]],PFAMAP[[#This Row],[AU]],PFAMAP[[#This Row],[Expected]],PFAMAP[[#This Row],[Uncertainty]]/2,PFAMAP[[#This Row],[stdev]])</f>
        <v>6.0600441090003593E-2</v>
      </c>
      <c r="AC11" s="128" t="s">
        <v>201</v>
      </c>
      <c r="AD11" s="128"/>
      <c r="AE11" s="109"/>
      <c r="AF11" s="92" t="s">
        <v>480</v>
      </c>
      <c r="AG11" s="97"/>
      <c r="AH11" s="284" cm="1">
        <f t="array" ref="AH11">TOL_LOWER_LIMIT(PFAMAP[[#This Row],[TolA]],PFAMAP[[#This Row],[TolType]],PFAMAP[[#This Row],[TolB]])</f>
        <v>59.75</v>
      </c>
      <c r="AI11" s="284" cm="1">
        <f t="array" ref="AI11">TOL_UPPER_LIMIT(PFAMAP[[#This Row],[TolA]],PFAMAP[[#This Row],[TolType]],PFAMAP[[#This Row],[TolB]])</f>
        <v>60.25</v>
      </c>
      <c r="AJ11" s="284" cm="1">
        <f t="array" ref="AJ11">SIGMA_FROM_ITP(PFAMAP[[#This Row],[Expected]],PFAMAP[[#This Row],[TL]],PFAMAP[[#This Row],[TU]],PFAMAP[[#This Row],[ITP]])</f>
        <v>0.19507603651809474</v>
      </c>
      <c r="AK11" s="98" t="b" cm="1">
        <f t="array" ref="AK11">GB_NEEDED(PFAMAP[[#This Row],[Gbmethod]],PFAMAP[[#This Row],[TUR]],PFAMAP[[#This Row],[PFA]],PFAMAP[[#This Row],[Criticality]])</f>
        <v>1</v>
      </c>
      <c r="AL11" s="98" cm="1">
        <f t="array" ref="AL11">IF(OR(PFAMAP[[#This Row],[Guardband]],PFAMAP[[#This Row],[GBOverride]]),
    IF(ISBLANK(PFAMAP[[#This Row],[GBOverride]]),
       GB_WIDTH(PFAMAP[[#This Row],[Gbmethod]],PFAMAP[[#This Row],[TUR]],PFAMAP[[#This Row],[TL]],PFAMAP[[#This Row],[TU]],PFAMAP[[#This Row],[Expected]],PFAMAP[[#This Row],[Uncertainty]],PFAMAP[[#This Row],[stdev]],PFAMAP[[#This Row],[Criticality]]),
       PFAMAP[[#This Row],[TU]]-TOL_UPPER_LIMIT(PFAMAP[[#This Row],[AcceptA]],PFAMAP[[#This Row],[AcceptType]],PFAMAP[[#This Row],[AcceptB]])
    ),
    0
)</f>
        <v>1.3924805654406854E-2</v>
      </c>
      <c r="AM11" s="98">
        <f>PFAMAP[[#This Row],[TL]]+PFAMAP[[#This Row],[GBW]]</f>
        <v>59.763924805654405</v>
      </c>
      <c r="AN11" s="98">
        <f>PFAMAP[[#This Row],[TU]]-PFAMAP[[#This Row],[GBW]]</f>
        <v>60.236075194345595</v>
      </c>
    </row>
    <row r="12" spans="2:41" s="110" customFormat="1" ht="36.75" customHeight="1" x14ac:dyDescent="0.35">
      <c r="B12" s="93" t="s">
        <v>27</v>
      </c>
      <c r="C12" s="93" t="s">
        <v>28</v>
      </c>
      <c r="D12" s="93">
        <v>1</v>
      </c>
      <c r="E12" s="93">
        <v>50</v>
      </c>
      <c r="F12" s="93">
        <v>49.994999999999997</v>
      </c>
      <c r="G12" s="93" t="s">
        <v>2</v>
      </c>
      <c r="H12" s="93">
        <v>50.005000000000003</v>
      </c>
      <c r="I12" s="93" t="s">
        <v>26</v>
      </c>
      <c r="J12" s="173">
        <v>0.95450000000000002</v>
      </c>
      <c r="K12" s="95" t="s">
        <v>29</v>
      </c>
      <c r="L12" s="132"/>
      <c r="M12" s="93" t="s">
        <v>1</v>
      </c>
      <c r="N12" s="174" cm="1">
        <f t="array" ref="N12">_xlfn.LET(_xlpm.equip,EQUIPMENT_LOOKUP(PFAMAP[[#This Row],[Equipment]],PFAMAP[[#This Row],[Range]],PFAMAP[[#This Row],[Expected]]),IF(_xlpm.equip&gt;0,_xlpm.equip,_xlfn.XLOOKUP(PFAMAP[[#This Row],[Equipment]],PFAMAP[Quantity],PFAMAP[stdev]*2,0)))</f>
        <v>0</v>
      </c>
      <c r="O12" s="325" cm="1">
        <f t="array" ref="O12">_xlfn.LET(_xlpm.equiprel, _xlfn.XLOOKUP(1, (EquipmentSpecs[Equipment/Function]=PFAMAP[Equipment])*(EquipmentSpecs[Range Name]=PFAMAP[Range]), EquipmentSpecs[Reliability], 0),
    IF(_xlpm.equiprel&gt;0,
        _xlpm.equiprel,
        _xlfn.XLOOKUP(PFAMAP[[#This Row],[Equipment]],PFAMAP[Quantity],PFAMAP[ITP],0.9545)
    )
)</f>
        <v>0.95450000000000002</v>
      </c>
      <c r="P12" s="93"/>
      <c r="Q12" s="147">
        <v>1E-3</v>
      </c>
      <c r="R12" s="182" cm="1">
        <f t="array" ref="R12">_xlfn.LET(
    _xlpm.mtestd, SIGMA_FROM_ITP(0,-PFAMAP[[#This Row],[Accuracy]],PFAMAP[[#This Row],[Accuracy]],PFAMAP[[#This Row],[MTEReliability]]),
    _xlpm.accuracy, IF(ISNUMBER(_xlpm.mtestd), 2*_xlpm.mtestd, 0),
    SQRT(SUMSQ(_xlpm.accuracy, PFAMAP[[#This Row],[TypeA]], PFAMAP[[#This Row],[OtherUnc]]))
)</f>
        <v>1E-3</v>
      </c>
      <c r="S12" s="93" t="s">
        <v>26</v>
      </c>
      <c r="T12" s="149" cm="1">
        <f t="array" ref="T12">TUR(PFAMAP[[#This Row],[TolA]],PFAMAP[[#This Row],[TolType]],PFAMAP[[#This Row],[TolB]],PFAMAP[[#This Row],[Uncertainty]],PFAMAP[[#This Row],[Expected]])</f>
        <v>5.000000000002558</v>
      </c>
      <c r="U12" s="280" cm="1">
        <f t="array" ref="U12">PFA(PFAMAP[[#This Row],[TL]],PFAMAP[[#This Row],[TU]],PFAMAP[[#This Row],[TL]],PFAMAP[[#This Row],[TU]],PFAMAP[[#This Row],[Expected]],PFAMAP[[#This Row],[Uncertainty]]/2,PFAMAP[[#This Row],[stdev]])</f>
        <v>6.7840384935137152E-3</v>
      </c>
      <c r="V12" s="175" t="s">
        <v>6</v>
      </c>
      <c r="W12" s="171" cm="1">
        <f t="array" ref="W12">IF(ISBLANK(PFAMAP[[#This Row],[GBOverride]]), TOL_DISPLAY_1(PFAMAP[[#This Row],[AL]],PFAMAP[[#This Row],[AU]],PFAMAP[[#This Row],[TolType]]),PFAMAP[[#This Row],[TolA]])</f>
        <v>49.994999999999997</v>
      </c>
      <c r="X12" s="170" t="str">
        <f>PFAMAP[[#This Row],[TolType]]</f>
        <v>to</v>
      </c>
      <c r="Y12" s="158" cm="1">
        <f t="array" ref="Y12">IF(ISBLANK(PFAMAP[[#This Row],[GBOverride]]), TOL_DISPLAY_2(PFAMAP[[#This Row],[AL]],PFAMAP[[#This Row],[AU]],PFAMAP[[#This Row],[TolType]]), PFAMAP[[#This Row],[TolB]])</f>
        <v>50.005000000000003</v>
      </c>
      <c r="Z12" s="132"/>
      <c r="AA12" s="157" cm="1">
        <f t="array" ref="AA12">IF(PFAMAP[[#This Row],[Guardband]], PFA(PFAMAP[[#This Row],[TL]],PFAMAP[[#This Row],[TU]],PFAMAP[[#This Row],[AL]],PFAMAP[[#This Row],[AU]],PFAMAP[[#This Row],[Expected]],PFAMAP[[#This Row],[Uncertainty]]/2,PFAMAP[[#This Row],[stdev]]), PFAMAP[[#This Row],[PFA]])</f>
        <v>6.7840384935137152E-3</v>
      </c>
      <c r="AB12" s="294" cm="1">
        <f t="array" ref="AB12">PFR(PFAMAP[[#This Row],[TL]],PFAMAP[[#This Row],[TU]],PFAMAP[[#This Row],[AL]],PFAMAP[[#This Row],[AU]],PFAMAP[[#This Row],[Expected]],PFAMAP[[#This Row],[Uncertainty]]/2,PFAMAP[[#This Row],[stdev]])</f>
        <v>1.1175556703877855E-2</v>
      </c>
      <c r="AC12" s="128" t="s">
        <v>325</v>
      </c>
      <c r="AD12" s="128"/>
      <c r="AE12" s="109"/>
      <c r="AF12" s="92" t="s">
        <v>482</v>
      </c>
      <c r="AG12" s="97"/>
      <c r="AH12" s="98" cm="1">
        <f t="array" ref="AH12">TOL_LOWER_LIMIT(PFAMAP[[#This Row],[TolA]],PFAMAP[[#This Row],[TolType]],PFAMAP[[#This Row],[TolB]])</f>
        <v>49.994999999999997</v>
      </c>
      <c r="AI12" s="98" cm="1">
        <f t="array" ref="AI12">TOL_UPPER_LIMIT(PFAMAP[[#This Row],[TolA]],PFAMAP[[#This Row],[TolType]],PFAMAP[[#This Row],[TolB]])</f>
        <v>50.005000000000003</v>
      </c>
      <c r="AJ12" s="100" cm="1">
        <f t="array" ref="AJ12">SIGMA_FROM_ITP(PFAMAP[[#This Row],[Expected]],PFAMAP[[#This Row],[TL]],PFAMAP[[#This Row],[TU]],PFAMAP[[#This Row],[ITP]])</f>
        <v>2.4999969451305086E-3</v>
      </c>
      <c r="AK12" s="98" t="b" cm="1">
        <f t="array" ref="AK12">GB_NEEDED(PFAMAP[[#This Row],[Gbmethod]],PFAMAP[[#This Row],[TUR]],PFAMAP[[#This Row],[PFA]],PFAMAP[[#This Row],[Criticality]])</f>
        <v>0</v>
      </c>
      <c r="AL12" s="98" cm="1">
        <f t="array" ref="AL12">IF(OR(PFAMAP[[#This Row],[Guardband]],PFAMAP[[#This Row],[GBOverride]]),
    IF(ISBLANK(PFAMAP[[#This Row],[GBOverride]]),
       GB_WIDTH(PFAMAP[[#This Row],[Gbmethod]],PFAMAP[[#This Row],[TUR]],PFAMAP[[#This Row],[TL]],PFAMAP[[#This Row],[TU]],PFAMAP[[#This Row],[Expected]],PFAMAP[[#This Row],[Uncertainty]],PFAMAP[[#This Row],[stdev]],PFAMAP[[#This Row],[Criticality]]),
       PFAMAP[[#This Row],[TU]]-TOL_UPPER_LIMIT(PFAMAP[[#This Row],[AcceptA]],PFAMAP[[#This Row],[AcceptType]],PFAMAP[[#This Row],[AcceptB]])
    ),
    0
)</f>
        <v>0</v>
      </c>
      <c r="AM12" s="98">
        <f>PFAMAP[[#This Row],[TL]]+PFAMAP[[#This Row],[GBW]]</f>
        <v>49.994999999999997</v>
      </c>
      <c r="AN12" s="98">
        <f>PFAMAP[[#This Row],[TU]]-PFAMAP[[#This Row],[GBW]]</f>
        <v>50.005000000000003</v>
      </c>
    </row>
    <row r="13" spans="2:41" s="110" customFormat="1" ht="36.75" customHeight="1" x14ac:dyDescent="0.35">
      <c r="B13" s="93" t="s">
        <v>270</v>
      </c>
      <c r="C13" s="133"/>
      <c r="D13" s="93">
        <v>1</v>
      </c>
      <c r="E13" s="93">
        <v>2.7</v>
      </c>
      <c r="F13" s="93">
        <v>2.67</v>
      </c>
      <c r="G13" s="93" t="s">
        <v>2</v>
      </c>
      <c r="H13" s="93">
        <v>2.77</v>
      </c>
      <c r="I13" s="93" t="s">
        <v>33</v>
      </c>
      <c r="J13" s="173">
        <v>0.95450000000000002</v>
      </c>
      <c r="K13" s="95" t="s">
        <v>32</v>
      </c>
      <c r="L13" s="93"/>
      <c r="M13" s="93" t="str">
        <f>"±"</f>
        <v>±</v>
      </c>
      <c r="N13" s="170" cm="1">
        <f t="array" ref="N13">_xlfn.LET(_xlpm.equip,EQUIPMENT_LOOKUP(PFAMAP[[#This Row],[Equipment]],PFAMAP[[#This Row],[Range]],PFAMAP[[#This Row],[Expected]]),IF(_xlpm.equip&gt;0,_xlpm.equip,_xlfn.XLOOKUP(PFAMAP[[#This Row],[Equipment]],PFAMAP[Quantity],PFAMAP[stdev]*2,0)))</f>
        <v>0</v>
      </c>
      <c r="O13" s="325" cm="1">
        <f t="array" ref="O13">_xlfn.LET(_xlpm.equiprel, _xlfn.XLOOKUP(1, (EquipmentSpecs[Equipment/Function]=PFAMAP[Equipment])*(EquipmentSpecs[Range Name]=PFAMAP[Range]), EquipmentSpecs[Reliability], 0),
    IF(_xlpm.equiprel&gt;0,
        _xlpm.equiprel,
        _xlfn.XLOOKUP(PFAMAP[[#This Row],[Equipment]],PFAMAP[Quantity],PFAMAP[ITP],0.9545)
    )
)</f>
        <v>0.95450000000000002</v>
      </c>
      <c r="P13" s="93"/>
      <c r="Q13" s="147">
        <v>0.01</v>
      </c>
      <c r="R13" s="182" cm="1">
        <f t="array" ref="R13">_xlfn.LET(
    _xlpm.mtestd, SIGMA_FROM_ITP(0,-PFAMAP[[#This Row],[Accuracy]],PFAMAP[[#This Row],[Accuracy]],PFAMAP[[#This Row],[MTEReliability]]),
    _xlpm.accuracy, IF(ISNUMBER(_xlpm.mtestd), 2*_xlpm.mtestd, 0),
    SQRT(SUMSQ(_xlpm.accuracy, PFAMAP[[#This Row],[TypeA]], PFAMAP[[#This Row],[OtherUnc]]))
)</f>
        <v>0.01</v>
      </c>
      <c r="S13" s="93" t="s">
        <v>33</v>
      </c>
      <c r="T13" s="149" cm="1">
        <f t="array" ref="T13">TUR(PFAMAP[[#This Row],[TolA]],PFAMAP[[#This Row],[TolType]],PFAMAP[[#This Row],[TolB]],PFAMAP[[#This Row],[Uncertainty]],PFAMAP[[#This Row],[Expected]])</f>
        <v>5.0000000000000044</v>
      </c>
      <c r="U13" s="280" cm="1">
        <f t="array" ref="U13">PFA(PFAMAP[[#This Row],[TL]],PFAMAP[[#This Row],[TU]],PFAMAP[[#This Row],[TL]],PFAMAP[[#This Row],[TU]],PFAMAP[[#This Row],[Expected]],PFAMAP[[#This Row],[Uncertainty]]/2,PFAMAP[[#This Row],[stdev]])</f>
        <v>8.0703129194100304E-3</v>
      </c>
      <c r="V13" s="175" t="s">
        <v>6</v>
      </c>
      <c r="W13" s="171" cm="1">
        <f t="array" ref="W13">IF(ISBLANK(PFAMAP[[#This Row],[GBOverride]]), TOL_DISPLAY_1(PFAMAP[[#This Row],[AL]],PFAMAP[[#This Row],[AU]],PFAMAP[[#This Row],[TolType]]),PFAMAP[[#This Row],[TolA]])</f>
        <v>2.67</v>
      </c>
      <c r="X13" s="170" t="str">
        <f>PFAMAP[[#This Row],[TolType]]</f>
        <v>to</v>
      </c>
      <c r="Y13" s="158" cm="1">
        <f t="array" ref="Y13">IF(ISBLANK(PFAMAP[[#This Row],[GBOverride]]), TOL_DISPLAY_2(PFAMAP[[#This Row],[AL]],PFAMAP[[#This Row],[AU]],PFAMAP[[#This Row],[TolType]]), PFAMAP[[#This Row],[TolB]])</f>
        <v>2.77</v>
      </c>
      <c r="Z13" s="132"/>
      <c r="AA13" s="157" cm="1">
        <f t="array" ref="AA13">IF(PFAMAP[[#This Row],[Guardband]], PFA(PFAMAP[[#This Row],[TL]],PFAMAP[[#This Row],[TU]],PFAMAP[[#This Row],[AL]],PFAMAP[[#This Row],[AU]],PFAMAP[[#This Row],[Expected]],PFAMAP[[#This Row],[Uncertainty]]/2,PFAMAP[[#This Row],[stdev]]), PFAMAP[[#This Row],[PFA]])</f>
        <v>8.0703129194100304E-3</v>
      </c>
      <c r="AB13" s="294" cm="1">
        <f t="array" ref="AB13">PFR(PFAMAP[[#This Row],[TL]],PFAMAP[[#This Row],[TU]],PFAMAP[[#This Row],[AL]],PFAMAP[[#This Row],[AU]],PFAMAP[[#This Row],[Expected]],PFAMAP[[#This Row],[Uncertainty]]/2,PFAMAP[[#This Row],[stdev]])</f>
        <v>1.4534301872936861E-2</v>
      </c>
      <c r="AC13" s="128" t="s">
        <v>201</v>
      </c>
      <c r="AD13" s="128"/>
      <c r="AE13" s="109"/>
      <c r="AF13" s="92" t="s">
        <v>481</v>
      </c>
      <c r="AG13" s="97"/>
      <c r="AH13" s="98" cm="1">
        <f t="array" ref="AH13">TOL_LOWER_LIMIT(PFAMAP[[#This Row],[TolA]],PFAMAP[[#This Row],[TolType]],PFAMAP[[#This Row],[TolB]])</f>
        <v>2.67</v>
      </c>
      <c r="AI13" s="98" cm="1">
        <f t="array" ref="AI13">TOL_UPPER_LIMIT(PFAMAP[[#This Row],[TolA]],PFAMAP[[#This Row],[TolType]],PFAMAP[[#This Row],[TolB]])</f>
        <v>2.77</v>
      </c>
      <c r="AJ13" s="100" cm="1">
        <f t="array" ref="AJ13">SIGMA_FROM_ITP(PFAMAP[[#This Row],[Expected]],PFAMAP[[#This Row],[TL]],PFAMAP[[#This Row],[TU]],PFAMAP[[#This Row],[ITP]])</f>
        <v>1.7745555899120281E-2</v>
      </c>
      <c r="AK13" s="98" t="b" cm="1">
        <f t="array" ref="AK13">GB_NEEDED(PFAMAP[[#This Row],[Gbmethod]],PFAMAP[[#This Row],[TUR]],PFAMAP[[#This Row],[PFA]],PFAMAP[[#This Row],[Criticality]])</f>
        <v>0</v>
      </c>
      <c r="AL13" s="98" cm="1">
        <f t="array" ref="AL13">IF(OR(PFAMAP[[#This Row],[Guardband]],PFAMAP[[#This Row],[GBOverride]]),
    IF(ISBLANK(PFAMAP[[#This Row],[GBOverride]]),
       GB_WIDTH(PFAMAP[[#This Row],[Gbmethod]],PFAMAP[[#This Row],[TUR]],PFAMAP[[#This Row],[TL]],PFAMAP[[#This Row],[TU]],PFAMAP[[#This Row],[Expected]],PFAMAP[[#This Row],[Uncertainty]],PFAMAP[[#This Row],[stdev]],PFAMAP[[#This Row],[Criticality]]),
       PFAMAP[[#This Row],[TU]]-TOL_UPPER_LIMIT(PFAMAP[[#This Row],[AcceptA]],PFAMAP[[#This Row],[AcceptType]],PFAMAP[[#This Row],[AcceptB]])
    ),
    0
)</f>
        <v>0</v>
      </c>
      <c r="AM13" s="98">
        <f>PFAMAP[[#This Row],[TL]]+PFAMAP[[#This Row],[GBW]]</f>
        <v>2.67</v>
      </c>
      <c r="AN13" s="98">
        <f>PFAMAP[[#This Row],[TU]]-PFAMAP[[#This Row],[GBW]]</f>
        <v>2.77</v>
      </c>
    </row>
    <row r="14" spans="2:41" s="110" customFormat="1" ht="36.75" customHeight="1" x14ac:dyDescent="0.35">
      <c r="B14" s="93" t="s">
        <v>34</v>
      </c>
      <c r="C14" s="133" t="s">
        <v>271</v>
      </c>
      <c r="D14" s="93">
        <v>1</v>
      </c>
      <c r="E14" s="93">
        <v>13</v>
      </c>
      <c r="F14" s="93">
        <v>13</v>
      </c>
      <c r="G14" s="93" t="s">
        <v>1</v>
      </c>
      <c r="H14" s="93">
        <v>0.5</v>
      </c>
      <c r="I14" s="93" t="s">
        <v>35</v>
      </c>
      <c r="J14" s="173">
        <v>0.8</v>
      </c>
      <c r="K14" s="95" t="s">
        <v>36</v>
      </c>
      <c r="L14" s="93"/>
      <c r="M14" s="93" t="str">
        <f>"±"</f>
        <v>±</v>
      </c>
      <c r="N14" s="170" cm="1">
        <f t="array" ref="N14">_xlfn.LET(_xlpm.equip,EQUIPMENT_LOOKUP(PFAMAP[[#This Row],[Equipment]],PFAMAP[[#This Row],[Range]],PFAMAP[[#This Row],[Expected]]),IF(_xlpm.equip&gt;0,_xlpm.equip,_xlfn.XLOOKUP(PFAMAP[[#This Row],[Equipment]],PFAMAP[Quantity],PFAMAP[stdev]*2,0)))</f>
        <v>0</v>
      </c>
      <c r="O14" s="325" cm="1">
        <f t="array" ref="O14">_xlfn.LET(_xlpm.equiprel, _xlfn.XLOOKUP(1, (EquipmentSpecs[Equipment/Function]=PFAMAP[Equipment])*(EquipmentSpecs[Range Name]=PFAMAP[Range]), EquipmentSpecs[Reliability], 0),
    IF(_xlpm.equiprel&gt;0,
        _xlpm.equiprel,
        _xlfn.XLOOKUP(PFAMAP[[#This Row],[Equipment]],PFAMAP[Quantity],PFAMAP[ITP],0.9545)
    )
)</f>
        <v>0.95450000000000002</v>
      </c>
      <c r="P14" s="93"/>
      <c r="Q14" s="147">
        <v>0.8</v>
      </c>
      <c r="R14" s="182" cm="1">
        <f t="array" ref="R14">_xlfn.LET(
    _xlpm.mtestd, SIGMA_FROM_ITP(0,-PFAMAP[[#This Row],[Accuracy]],PFAMAP[[#This Row],[Accuracy]],PFAMAP[[#This Row],[MTEReliability]]),
    _xlpm.accuracy, IF(ISNUMBER(_xlpm.mtestd), 2*_xlpm.mtestd, 0),
    SQRT(SUMSQ(_xlpm.accuracy, PFAMAP[[#This Row],[TypeA]], PFAMAP[[#This Row],[OtherUnc]]))
)</f>
        <v>0.8</v>
      </c>
      <c r="S14" s="93" t="s">
        <v>35</v>
      </c>
      <c r="T14" s="149" cm="1">
        <f t="array" ref="T14">TUR(PFAMAP[[#This Row],[TolA]],PFAMAP[[#This Row],[TolType]],PFAMAP[[#This Row],[TolB]],PFAMAP[[#This Row],[Uncertainty]],PFAMAP[[#This Row],[Expected]])</f>
        <v>0.625</v>
      </c>
      <c r="U14" s="280" cm="1">
        <f t="array" ref="U14">PFA(PFAMAP[[#This Row],[TL]],PFAMAP[[#This Row],[TU]],PFAMAP[[#This Row],[TL]],PFAMAP[[#This Row],[TU]],PFAMAP[[#This Row],[Expected]],PFAMAP[[#This Row],[Uncertainty]]/2,PFAMAP[[#This Row],[stdev]])</f>
        <v>6.6893705764948658E-2</v>
      </c>
      <c r="V14" s="175" t="s">
        <v>43</v>
      </c>
      <c r="W14" s="171" cm="1">
        <f t="array" ref="W14">IF(ISBLANK(PFAMAP[[#This Row],[GBOverride]]), TOL_DISPLAY_1(PFAMAP[[#This Row],[AL]],PFAMAP[[#This Row],[AU]],PFAMAP[[#This Row],[TolType]]),PFAMAP[[#This Row],[TolA]])</f>
        <v>13</v>
      </c>
      <c r="X14" s="170" t="str">
        <f>PFAMAP[[#This Row],[TolType]]</f>
        <v>±</v>
      </c>
      <c r="Y14" s="158" cm="1">
        <f t="array" ref="Y14">IF(ISBLANK(PFAMAP[[#This Row],[GBOverride]]), TOL_DISPLAY_2(PFAMAP[[#This Row],[AL]],PFAMAP[[#This Row],[AU]],PFAMAP[[#This Row],[TolType]]), PFAMAP[[#This Row],[TolB]])</f>
        <v>0</v>
      </c>
      <c r="Z14" s="132"/>
      <c r="AA14" s="157" cm="1">
        <f t="array" ref="AA14">IF(PFAMAP[[#This Row],[Guardband]], PFA(PFAMAP[[#This Row],[TL]],PFAMAP[[#This Row],[TU]],PFAMAP[[#This Row],[AL]],PFAMAP[[#This Row],[AU]],PFAMAP[[#This Row],[Expected]],PFAMAP[[#This Row],[Uncertainty]]/2,PFAMAP[[#This Row],[stdev]]), PFAMAP[[#This Row],[PFA]])</f>
        <v>0</v>
      </c>
      <c r="AB14" s="294" cm="1">
        <f t="array" ref="AB14">PFR(PFAMAP[[#This Row],[TL]],PFAMAP[[#This Row],[TU]],PFAMAP[[#This Row],[AL]],PFAMAP[[#This Row],[AU]],PFAMAP[[#This Row],[Expected]],PFAMAP[[#This Row],[Uncertainty]]/2,PFAMAP[[#This Row],[stdev]])</f>
        <v>0.8</v>
      </c>
      <c r="AC14" s="128" t="s">
        <v>325</v>
      </c>
      <c r="AD14" s="128"/>
      <c r="AE14" s="109"/>
      <c r="AF14" s="92" t="s">
        <v>484</v>
      </c>
      <c r="AG14" s="97"/>
      <c r="AH14" s="98" cm="1">
        <f t="array" ref="AH14">TOL_LOWER_LIMIT(PFAMAP[[#This Row],[TolA]],PFAMAP[[#This Row],[TolType]],PFAMAP[[#This Row],[TolB]])</f>
        <v>12.5</v>
      </c>
      <c r="AI14" s="98" cm="1">
        <f t="array" ref="AI14">TOL_UPPER_LIMIT(PFAMAP[[#This Row],[TolA]],PFAMAP[[#This Row],[TolType]],PFAMAP[[#This Row],[TolB]])</f>
        <v>13.5</v>
      </c>
      <c r="AJ14" s="100" cm="1">
        <f t="array" ref="AJ14">SIGMA_FROM_ITP(PFAMAP[[#This Row],[Expected]],PFAMAP[[#This Row],[TL]],PFAMAP[[#This Row],[TU]],PFAMAP[[#This Row],[ITP]])</f>
        <v>0.39015207303618948</v>
      </c>
      <c r="AK14" s="98" t="b" cm="1">
        <f t="array" ref="AK14">GB_NEEDED(PFAMAP[[#This Row],[Gbmethod]],PFAMAP[[#This Row],[TUR]],PFAMAP[[#This Row],[PFA]],PFAMAP[[#This Row],[Criticality]])</f>
        <v>1</v>
      </c>
      <c r="AL14" s="98" cm="1">
        <f t="array" ref="AL14">IF(OR(PFAMAP[[#This Row],[Guardband]],PFAMAP[[#This Row],[GBOverride]]),
    IF(ISBLANK(PFAMAP[[#This Row],[GBOverride]]),
       GB_WIDTH(PFAMAP[[#This Row],[Gbmethod]],PFAMAP[[#This Row],[TUR]],PFAMAP[[#This Row],[TL]],PFAMAP[[#This Row],[TU]],PFAMAP[[#This Row],[Expected]],PFAMAP[[#This Row],[Uncertainty]],PFAMAP[[#This Row],[stdev]],PFAMAP[[#This Row],[Criticality]]),
       PFAMAP[[#This Row],[TU]]-TOL_UPPER_LIMIT(PFAMAP[[#This Row],[AcceptA]],PFAMAP[[#This Row],[AcceptType]],PFAMAP[[#This Row],[AcceptB]])
    ),
    0
)</f>
        <v>0.5</v>
      </c>
      <c r="AM14" s="98">
        <f>PFAMAP[[#This Row],[TL]]+PFAMAP[[#This Row],[GBW]]</f>
        <v>13</v>
      </c>
      <c r="AN14" s="98">
        <f>PFAMAP[[#This Row],[TU]]-PFAMAP[[#This Row],[GBW]]</f>
        <v>13</v>
      </c>
    </row>
    <row r="15" spans="2:41" s="110" customFormat="1" ht="36.75" customHeight="1" x14ac:dyDescent="0.35">
      <c r="B15" s="93" t="s">
        <v>214</v>
      </c>
      <c r="C15" s="133"/>
      <c r="D15" s="93">
        <v>1</v>
      </c>
      <c r="E15" s="93">
        <v>10</v>
      </c>
      <c r="F15" s="93"/>
      <c r="G15" s="93" t="s">
        <v>3</v>
      </c>
      <c r="H15" s="93">
        <v>12</v>
      </c>
      <c r="I15" s="93" t="s">
        <v>25</v>
      </c>
      <c r="J15" s="173">
        <v>0.95450000000000002</v>
      </c>
      <c r="K15" s="95" t="s">
        <v>273</v>
      </c>
      <c r="L15" s="93"/>
      <c r="M15" s="93" t="str">
        <f>"±"</f>
        <v>±</v>
      </c>
      <c r="N15" s="170" cm="1">
        <f t="array" ref="N15">_xlfn.LET(_xlpm.equip,EQUIPMENT_LOOKUP(PFAMAP[[#This Row],[Equipment]],PFAMAP[[#This Row],[Range]],PFAMAP[[#This Row],[Expected]]),IF(_xlpm.equip&gt;0,_xlpm.equip,_xlfn.XLOOKUP(PFAMAP[[#This Row],[Equipment]],PFAMAP[Quantity],PFAMAP[stdev]*2,0)))</f>
        <v>0</v>
      </c>
      <c r="O15" s="325" cm="1">
        <f t="array" ref="O15">_xlfn.LET(_xlpm.equiprel, _xlfn.XLOOKUP(1, (EquipmentSpecs[Equipment/Function]=PFAMAP[Equipment])*(EquipmentSpecs[Range Name]=PFAMAP[Range]), EquipmentSpecs[Reliability], 0),
    IF(_xlpm.equiprel&gt;0,
        _xlpm.equiprel,
        _xlfn.XLOOKUP(PFAMAP[[#This Row],[Equipment]],PFAMAP[Quantity],PFAMAP[ITP],0.9545)
    )
)</f>
        <v>0.95450000000000002</v>
      </c>
      <c r="P15" s="93"/>
      <c r="Q15" s="147">
        <v>0.5</v>
      </c>
      <c r="R15" s="182" cm="1">
        <f t="array" ref="R15">_xlfn.LET(
    _xlpm.mtestd, SIGMA_FROM_ITP(0,-PFAMAP[[#This Row],[Accuracy]],PFAMAP[[#This Row],[Accuracy]],PFAMAP[[#This Row],[MTEReliability]]),
    _xlpm.accuracy, IF(ISNUMBER(_xlpm.mtestd), 2*_xlpm.mtestd, 0),
    SQRT(SUMSQ(_xlpm.accuracy, PFAMAP[[#This Row],[TypeA]], PFAMAP[[#This Row],[OtherUnc]]))
)</f>
        <v>0.5</v>
      </c>
      <c r="S15" s="93" t="s">
        <v>25</v>
      </c>
      <c r="T15" s="149" cm="1">
        <f t="array" ref="T15">TUR(PFAMAP[[#This Row],[TolA]],PFAMAP[[#This Row],[TolType]],PFAMAP[[#This Row],[TolB]],PFAMAP[[#This Row],[Uncertainty]],PFAMAP[[#This Row],[Expected]])</f>
        <v>4</v>
      </c>
      <c r="U15" s="280" cm="1">
        <f t="array" ref="U15">PFA(PFAMAP[[#This Row],[TL]],PFAMAP[[#This Row],[TU]],PFAMAP[[#This Row],[TL]],PFAMAP[[#This Row],[TU]],PFAMAP[[#This Row],[Expected]],PFAMAP[[#This Row],[Uncertainty]]/2,PFAMAP[[#This Row],[stdev]])</f>
        <v>6.4849251880960412E-3</v>
      </c>
      <c r="V15" s="175" t="s">
        <v>6</v>
      </c>
      <c r="W15" s="171" t="str" cm="1">
        <f t="array" ref="W15">IF(ISBLANK(PFAMAP[[#This Row],[GBOverride]]), TOL_DISPLAY_1(PFAMAP[[#This Row],[AL]],PFAMAP[[#This Row],[AU]],PFAMAP[[#This Row],[TolType]]),PFAMAP[[#This Row],[TolA]])</f>
        <v xml:space="preserve"> </v>
      </c>
      <c r="X15" s="170" t="str">
        <f>PFAMAP[[#This Row],[TolType]]</f>
        <v>max</v>
      </c>
      <c r="Y15" s="158" cm="1">
        <f t="array" ref="Y15">IF(ISBLANK(PFAMAP[[#This Row],[GBOverride]]), TOL_DISPLAY_2(PFAMAP[[#This Row],[AL]],PFAMAP[[#This Row],[AU]],PFAMAP[[#This Row],[TolType]]), PFAMAP[[#This Row],[TolB]])</f>
        <v>12</v>
      </c>
      <c r="Z15" s="132"/>
      <c r="AA15" s="157" cm="1">
        <f t="array" ref="AA15">IF(PFAMAP[[#This Row],[Guardband]], PFA(PFAMAP[[#This Row],[TL]],PFAMAP[[#This Row],[TU]],PFAMAP[[#This Row],[AL]],PFAMAP[[#This Row],[AU]],PFAMAP[[#This Row],[Expected]],PFAMAP[[#This Row],[Uncertainty]]/2,PFAMAP[[#This Row],[stdev]]), PFAMAP[[#This Row],[PFA]])</f>
        <v>6.4849251880960412E-3</v>
      </c>
      <c r="AB15" s="294" cm="1">
        <f t="array" ref="AB15">PFR(PFAMAP[[#This Row],[TL]],PFAMAP[[#This Row],[TU]],PFAMAP[[#This Row],[AL]],PFAMAP[[#This Row],[AU]],PFAMAP[[#This Row],[Expected]],PFAMAP[[#This Row],[Uncertainty]]/2,PFAMAP[[#This Row],[stdev]])</f>
        <v>1.0109752607905975E-2</v>
      </c>
      <c r="AC15" s="128" t="s">
        <v>201</v>
      </c>
      <c r="AD15" s="128"/>
      <c r="AE15" s="109"/>
      <c r="AF15" s="92" t="s">
        <v>485</v>
      </c>
      <c r="AG15" s="97"/>
      <c r="AH15" s="98" t="e" cm="1">
        <f t="array" ref="AH15">TOL_LOWER_LIMIT(PFAMAP[[#This Row],[TolA]],PFAMAP[[#This Row],[TolType]],PFAMAP[[#This Row],[TolB]])</f>
        <v>#N/A</v>
      </c>
      <c r="AI15" s="98" cm="1">
        <f t="array" ref="AI15">TOL_UPPER_LIMIT(PFAMAP[[#This Row],[TolA]],PFAMAP[[#This Row],[TolType]],PFAMAP[[#This Row],[TolB]])</f>
        <v>12</v>
      </c>
      <c r="AJ15" s="98" cm="1">
        <f t="array" ref="AJ15">SIGMA_FROM_ITP(PFAMAP[[#This Row],[Expected]],PFAMAP[[#This Row],[TL]],PFAMAP[[#This Row],[TU]],PFAMAP[[#This Row],[ITP]])</f>
        <v>1.1833296278899397</v>
      </c>
      <c r="AK15" s="98" t="b" cm="1">
        <f t="array" ref="AK15">GB_NEEDED(PFAMAP[[#This Row],[Gbmethod]],PFAMAP[[#This Row],[TUR]],PFAMAP[[#This Row],[PFA]],PFAMAP[[#This Row],[Criticality]])</f>
        <v>0</v>
      </c>
      <c r="AL15" s="98" cm="1">
        <f t="array" ref="AL15">IF(OR(PFAMAP[[#This Row],[Guardband]],PFAMAP[[#This Row],[GBOverride]]),
    IF(ISBLANK(PFAMAP[[#This Row],[GBOverride]]),
       GB_WIDTH(PFAMAP[[#This Row],[Gbmethod]],PFAMAP[[#This Row],[TUR]],PFAMAP[[#This Row],[TL]],PFAMAP[[#This Row],[TU]],PFAMAP[[#This Row],[Expected]],PFAMAP[[#This Row],[Uncertainty]],PFAMAP[[#This Row],[stdev]],PFAMAP[[#This Row],[Criticality]]),
       PFAMAP[[#This Row],[TU]]-TOL_UPPER_LIMIT(PFAMAP[[#This Row],[AcceptA]],PFAMAP[[#This Row],[AcceptType]],PFAMAP[[#This Row],[AcceptB]])
    ),
    0
)</f>
        <v>0</v>
      </c>
      <c r="AM15" s="98" t="e">
        <f>PFAMAP[[#This Row],[TL]]+PFAMAP[[#This Row],[GBW]]</f>
        <v>#N/A</v>
      </c>
      <c r="AN15" s="98">
        <f>PFAMAP[[#This Row],[TU]]-PFAMAP[[#This Row],[GBW]]</f>
        <v>12</v>
      </c>
    </row>
    <row r="16" spans="2:41" s="110" customFormat="1" ht="36.75" customHeight="1" x14ac:dyDescent="0.35">
      <c r="B16" s="93" t="s">
        <v>214</v>
      </c>
      <c r="C16" s="133"/>
      <c r="D16" s="93">
        <v>1</v>
      </c>
      <c r="E16" s="93">
        <v>13</v>
      </c>
      <c r="F16" s="93"/>
      <c r="G16" s="93" t="s">
        <v>4</v>
      </c>
      <c r="H16" s="93">
        <v>12</v>
      </c>
      <c r="I16" s="93" t="s">
        <v>25</v>
      </c>
      <c r="J16" s="173">
        <v>0.95450000000000002</v>
      </c>
      <c r="K16" s="95" t="s">
        <v>273</v>
      </c>
      <c r="L16" s="93"/>
      <c r="M16" s="93" t="str">
        <f>"±"</f>
        <v>±</v>
      </c>
      <c r="N16" s="177" cm="1">
        <f t="array" ref="N16">_xlfn.LET(_xlpm.equip,EQUIPMENT_LOOKUP(PFAMAP[[#This Row],[Equipment]],PFAMAP[[#This Row],[Range]],PFAMAP[[#This Row],[Expected]]),IF(_xlpm.equip&gt;0,_xlpm.equip,_xlfn.XLOOKUP(PFAMAP[[#This Row],[Equipment]],PFAMAP[Quantity],PFAMAP[stdev]*2,0)))</f>
        <v>0</v>
      </c>
      <c r="O16" s="325" cm="1">
        <f t="array" ref="O16">_xlfn.LET(_xlpm.equiprel, _xlfn.XLOOKUP(1, (EquipmentSpecs[Equipment/Function]=PFAMAP[Equipment])*(EquipmentSpecs[Range Name]=PFAMAP[Range]), EquipmentSpecs[Reliability], 0),
    IF(_xlpm.equiprel&gt;0,
        _xlpm.equiprel,
        _xlfn.XLOOKUP(PFAMAP[[#This Row],[Equipment]],PFAMAP[Quantity],PFAMAP[ITP],0.9545)
    )
)</f>
        <v>0.95450000000000002</v>
      </c>
      <c r="P16" s="93"/>
      <c r="Q16" s="147">
        <v>0.5</v>
      </c>
      <c r="R16" s="182" cm="1">
        <f t="array" ref="R16">_xlfn.LET(
    _xlpm.mtestd, SIGMA_FROM_ITP(0,-PFAMAP[[#This Row],[Accuracy]],PFAMAP[[#This Row],[Accuracy]],PFAMAP[[#This Row],[MTEReliability]]),
    _xlpm.accuracy, IF(ISNUMBER(_xlpm.mtestd), 2*_xlpm.mtestd, 0),
    SQRT(SUMSQ(_xlpm.accuracy, PFAMAP[[#This Row],[TypeA]], PFAMAP[[#This Row],[OtherUnc]]))
)</f>
        <v>0.5</v>
      </c>
      <c r="S16" s="93" t="s">
        <v>25</v>
      </c>
      <c r="T16" s="149" cm="1">
        <f t="array" ref="T16">TUR(PFAMAP[[#This Row],[TolA]],PFAMAP[[#This Row],[TolType]],PFAMAP[[#This Row],[TolB]],PFAMAP[[#This Row],[Uncertainty]],PFAMAP[[#This Row],[Expected]])</f>
        <v>2</v>
      </c>
      <c r="U16" s="280" cm="1">
        <f t="array" ref="U16">PFA(PFAMAP[[#This Row],[TL]],PFAMAP[[#This Row],[TU]],PFAMAP[[#This Row],[TL]],PFAMAP[[#This Row],[TU]],PFAMAP[[#This Row],[Expected]],PFAMAP[[#This Row],[Uncertainty]]/2,PFAMAP[[#This Row],[stdev]])</f>
        <v>1.059472202609589E-2</v>
      </c>
      <c r="V16" s="175" t="s">
        <v>6</v>
      </c>
      <c r="W16" s="171" t="str" cm="1">
        <f t="array" ref="W16">IF(ISBLANK(PFAMAP[[#This Row],[GBOverride]]), TOL_DISPLAY_1(PFAMAP[[#This Row],[AL]],PFAMAP[[#This Row],[AU]],PFAMAP[[#This Row],[TolType]]),PFAMAP[[#This Row],[TolA]])</f>
        <v xml:space="preserve"> </v>
      </c>
      <c r="X16" s="148" t="str">
        <f>PFAMAP[[#This Row],[TolType]]</f>
        <v>min</v>
      </c>
      <c r="Y16" s="158" cm="1">
        <f t="array" ref="Y16">IF(ISBLANK(PFAMAP[[#This Row],[GBOverride]]), TOL_DISPLAY_2(PFAMAP[[#This Row],[AL]],PFAMAP[[#This Row],[AU]],PFAMAP[[#This Row],[TolType]]), PFAMAP[[#This Row],[TolB]])</f>
        <v>12</v>
      </c>
      <c r="Z16" s="132"/>
      <c r="AA16" s="157" cm="1">
        <f t="array" ref="AA16">IF(PFAMAP[[#This Row],[Guardband]], PFA(PFAMAP[[#This Row],[TL]],PFAMAP[[#This Row],[TU]],PFAMAP[[#This Row],[AL]],PFAMAP[[#This Row],[AU]],PFAMAP[[#This Row],[Expected]],PFAMAP[[#This Row],[Uncertainty]]/2,PFAMAP[[#This Row],[stdev]]), PFAMAP[[#This Row],[PFA]])</f>
        <v>1.059472202609589E-2</v>
      </c>
      <c r="AB16" s="294" cm="1">
        <f t="array" ref="AB16">PFR(PFAMAP[[#This Row],[TL]],PFAMAP[[#This Row],[TU]],PFAMAP[[#This Row],[AL]],PFAMAP[[#This Row],[AU]],PFAMAP[[#This Row],[Expected]],PFAMAP[[#This Row],[Uncertainty]]/2,PFAMAP[[#This Row],[stdev]])</f>
        <v>2.4936544606270448E-2</v>
      </c>
      <c r="AC16" s="128" t="s">
        <v>201</v>
      </c>
      <c r="AD16" s="128"/>
      <c r="AE16" s="109"/>
      <c r="AF16" s="92" t="s">
        <v>486</v>
      </c>
      <c r="AG16" s="97"/>
      <c r="AH16" s="98" cm="1">
        <f t="array" ref="AH16">TOL_LOWER_LIMIT(PFAMAP[[#This Row],[TolA]],PFAMAP[[#This Row],[TolType]],PFAMAP[[#This Row],[TolB]])</f>
        <v>12</v>
      </c>
      <c r="AI16" s="98" t="e" cm="1">
        <f t="array" ref="AI16">TOL_UPPER_LIMIT(PFAMAP[[#This Row],[TolA]],PFAMAP[[#This Row],[TolType]],PFAMAP[[#This Row],[TolB]])</f>
        <v>#N/A</v>
      </c>
      <c r="AJ16" s="98" cm="1">
        <f t="array" ref="AJ16">SIGMA_FROM_ITP(PFAMAP[[#This Row],[Expected]],PFAMAP[[#This Row],[TL]],PFAMAP[[#This Row],[TU]],PFAMAP[[#This Row],[ITP]])</f>
        <v>0.59166481394496984</v>
      </c>
      <c r="AK16" s="98" t="b" cm="1">
        <f t="array" ref="AK16">GB_NEEDED(PFAMAP[[#This Row],[Gbmethod]],PFAMAP[[#This Row],[TUR]],PFAMAP[[#This Row],[PFA]],PFAMAP[[#This Row],[Criticality]])</f>
        <v>0</v>
      </c>
      <c r="AL16" s="98" cm="1">
        <f t="array" ref="AL16">IF(OR(PFAMAP[[#This Row],[Guardband]],PFAMAP[[#This Row],[GBOverride]]),
    IF(ISBLANK(PFAMAP[[#This Row],[GBOverride]]),
       GB_WIDTH(PFAMAP[[#This Row],[Gbmethod]],PFAMAP[[#This Row],[TUR]],PFAMAP[[#This Row],[TL]],PFAMAP[[#This Row],[TU]],PFAMAP[[#This Row],[Expected]],PFAMAP[[#This Row],[Uncertainty]],PFAMAP[[#This Row],[stdev]],PFAMAP[[#This Row],[Criticality]]),
       PFAMAP[[#This Row],[TU]]-TOL_UPPER_LIMIT(PFAMAP[[#This Row],[AcceptA]],PFAMAP[[#This Row],[AcceptType]],PFAMAP[[#This Row],[AcceptB]])
    ),
    0
)</f>
        <v>0</v>
      </c>
      <c r="AM16" s="98">
        <f>PFAMAP[[#This Row],[TL]]+PFAMAP[[#This Row],[GBW]]</f>
        <v>12</v>
      </c>
      <c r="AN16" s="98" t="e">
        <f>PFAMAP[[#This Row],[TU]]-PFAMAP[[#This Row],[GBW]]</f>
        <v>#N/A</v>
      </c>
    </row>
    <row r="18" spans="14:29" x14ac:dyDescent="0.35">
      <c r="N18" s="82" t="s">
        <v>274</v>
      </c>
      <c r="O18" s="82"/>
      <c r="P18" s="82"/>
      <c r="Q18" s="82"/>
      <c r="R18" s="82"/>
      <c r="AC18" s="82" t="s">
        <v>316</v>
      </c>
    </row>
    <row r="19" spans="14:29" x14ac:dyDescent="0.35">
      <c r="N19" s="82"/>
      <c r="O19" s="82" t="s">
        <v>269</v>
      </c>
    </row>
    <row r="20" spans="14:29" ht="15.75" customHeight="1" x14ac:dyDescent="0.35">
      <c r="N20" s="82"/>
      <c r="O20" s="82"/>
      <c r="P20" s="82" t="s">
        <v>361</v>
      </c>
      <c r="Q20" s="82"/>
      <c r="R20" s="82"/>
    </row>
    <row r="21" spans="14:29" x14ac:dyDescent="0.35">
      <c r="N21" s="82"/>
      <c r="O21" s="82"/>
      <c r="P21" s="82"/>
      <c r="Q21" s="82" t="s">
        <v>362</v>
      </c>
      <c r="R21" s="82"/>
    </row>
    <row r="22" spans="14:29" x14ac:dyDescent="0.35">
      <c r="P22" s="82"/>
      <c r="Q22" s="82"/>
      <c r="R22" s="82" t="s">
        <v>249</v>
      </c>
    </row>
    <row r="33" spans="23:28" x14ac:dyDescent="0.35">
      <c r="W33" s="287"/>
      <c r="Y33" s="287"/>
      <c r="Z33" s="287"/>
      <c r="AA33" s="287"/>
      <c r="AB33" s="287"/>
    </row>
    <row r="34" spans="23:28" x14ac:dyDescent="0.35">
      <c r="W34" s="287"/>
      <c r="Y34" s="287"/>
      <c r="Z34" s="288"/>
      <c r="AA34" s="288"/>
      <c r="AB34" s="288"/>
    </row>
    <row r="35" spans="23:28" x14ac:dyDescent="0.35">
      <c r="W35" s="287"/>
      <c r="Y35" s="287"/>
    </row>
  </sheetData>
  <mergeCells count="10">
    <mergeCell ref="AC7:AE7"/>
    <mergeCell ref="W8:Y8"/>
    <mergeCell ref="C2:J2"/>
    <mergeCell ref="C3:J3"/>
    <mergeCell ref="C4:J4"/>
    <mergeCell ref="C5:J5"/>
    <mergeCell ref="F8:H8"/>
    <mergeCell ref="B7:J7"/>
    <mergeCell ref="K7:S7"/>
    <mergeCell ref="T7:AB7"/>
  </mergeCells>
  <phoneticPr fontId="8" type="noConversion"/>
  <conditionalFormatting sqref="I10:I16">
    <cfRule type="expression" dxfId="6" priority="2">
      <formula>$I10&lt;&gt;$S10</formula>
    </cfRule>
  </conditionalFormatting>
  <conditionalFormatting sqref="S10:S16">
    <cfRule type="expression" dxfId="5" priority="1">
      <formula>$I10&lt;&gt;$S10</formula>
    </cfRule>
  </conditionalFormatting>
  <conditionalFormatting sqref="W10:Y16">
    <cfRule type="expression" dxfId="4" priority="3">
      <formula>$AK10</formula>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523C28C4-4964-4F36-8CF9-A46D2A9941A2}">
          <x14:formula1>
            <xm:f>Lookup!$A$2:$A$5</xm:f>
          </x14:formula1>
          <xm:sqref>G10:G16</xm:sqref>
        </x14:dataValidation>
        <x14:dataValidation type="list" allowBlank="1" showInputMessage="1" showErrorMessage="1" xr:uid="{DEA2B582-67E8-4E76-B243-B3869B746E90}">
          <x14:formula1>
            <xm:f>Lookup!$B$2:$B$3</xm:f>
          </x14:formula1>
          <xm:sqref>V10:V16</xm:sqref>
        </x14:dataValidation>
        <x14:dataValidation type="list" allowBlank="1" showInputMessage="1" showErrorMessage="1" xr:uid="{22B86516-6400-44FB-B2CE-EA9E76466786}">
          <x14:formula1>
            <xm:f>'Criticality Levels'!$B$4:$B$8</xm:f>
          </x14:formula1>
          <xm:sqref>D10:D16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CEB94-A4E2-44DE-8CEB-6991F1A846B9}">
  <dimension ref="B1:T18"/>
  <sheetViews>
    <sheetView workbookViewId="0">
      <selection activeCell="L3" sqref="L3"/>
    </sheetView>
  </sheetViews>
  <sheetFormatPr defaultRowHeight="14.5" x14ac:dyDescent="0.35"/>
  <cols>
    <col min="1" max="1" width="2.453125" customWidth="1"/>
    <col min="2" max="2" width="21.54296875" customWidth="1"/>
    <col min="3" max="3" width="15.54296875" customWidth="1"/>
    <col min="4" max="4" width="13" style="122" customWidth="1"/>
    <col min="5" max="5" width="15" customWidth="1"/>
    <col min="6" max="6" width="14.26953125" customWidth="1"/>
    <col min="7" max="7" width="14" customWidth="1"/>
    <col min="8" max="8" width="15.1796875" customWidth="1"/>
    <col min="9" max="9" width="16.453125" customWidth="1"/>
    <col min="10" max="10" width="13.1796875" customWidth="1"/>
    <col min="11" max="11" width="16.453125" customWidth="1"/>
    <col min="12" max="12" width="20.54296875" customWidth="1"/>
    <col min="16" max="16" width="19.1796875" customWidth="1"/>
    <col min="17" max="17" width="5.7265625" customWidth="1"/>
    <col min="18" max="18" width="11" bestFit="1" customWidth="1"/>
    <col min="20" max="20" width="13.26953125" customWidth="1"/>
  </cols>
  <sheetData>
    <row r="1" spans="2:20" x14ac:dyDescent="0.35">
      <c r="H1" t="s">
        <v>243</v>
      </c>
      <c r="I1" t="s">
        <v>222</v>
      </c>
      <c r="J1" t="s">
        <v>222</v>
      </c>
      <c r="K1" t="s">
        <v>323</v>
      </c>
    </row>
    <row r="2" spans="2:20" s="120" customFormat="1" x14ac:dyDescent="0.35">
      <c r="B2" s="159" t="s">
        <v>230</v>
      </c>
      <c r="C2" s="159" t="s">
        <v>240</v>
      </c>
      <c r="D2" s="160" t="s">
        <v>233</v>
      </c>
      <c r="E2" s="159" t="s">
        <v>226</v>
      </c>
      <c r="F2" s="159" t="s">
        <v>227</v>
      </c>
      <c r="G2" s="159" t="s">
        <v>228</v>
      </c>
      <c r="H2" s="159" t="s">
        <v>223</v>
      </c>
      <c r="I2" s="159" t="s">
        <v>241</v>
      </c>
      <c r="J2" s="159" t="s">
        <v>242</v>
      </c>
      <c r="K2" s="159" t="s">
        <v>322</v>
      </c>
      <c r="L2" s="159" t="s">
        <v>229</v>
      </c>
    </row>
    <row r="3" spans="2:20" x14ac:dyDescent="0.35">
      <c r="B3" s="143" t="s">
        <v>231</v>
      </c>
      <c r="C3" s="143" t="s">
        <v>235</v>
      </c>
      <c r="D3" s="161">
        <v>100</v>
      </c>
      <c r="E3" s="162">
        <v>9.0000000000000002E-6</v>
      </c>
      <c r="F3" s="162">
        <v>3.0000000000000001E-6</v>
      </c>
      <c r="G3" s="143">
        <v>0</v>
      </c>
      <c r="H3" s="163">
        <v>1E-8</v>
      </c>
      <c r="I3" s="163">
        <v>0</v>
      </c>
      <c r="J3" s="143">
        <v>0</v>
      </c>
      <c r="K3" s="277">
        <v>0.95450000000000002</v>
      </c>
      <c r="L3" s="163">
        <f>SQRT((EquipmentSpecs[[#This Row],[Range Max]]*EquipmentSpecs[[#This Row],[%Range]]+EquipmentSpecs[[#This Row],[Constant]])^2+EquipmentSpecs[[#This Row],[Resolution]]^2/3+EquipmentSpecs[[#This Row],[Other2]]^2/2+EquipmentSpecs[[#This Row],[Other1]]^2/2)</f>
        <v>3.0000000005555558E-4</v>
      </c>
      <c r="R3" s="136"/>
      <c r="T3" s="135"/>
    </row>
    <row r="4" spans="2:20" x14ac:dyDescent="0.35">
      <c r="B4" s="143" t="s">
        <v>231</v>
      </c>
      <c r="C4" s="143" t="s">
        <v>236</v>
      </c>
      <c r="D4" s="161">
        <v>1</v>
      </c>
      <c r="E4" s="162">
        <v>7.9999999999999996E-6</v>
      </c>
      <c r="F4" s="162">
        <v>2.9999999999999999E-7</v>
      </c>
      <c r="G4" s="143">
        <v>0</v>
      </c>
      <c r="H4" s="163">
        <v>1E-8</v>
      </c>
      <c r="I4" s="163">
        <v>0</v>
      </c>
      <c r="J4" s="143">
        <v>0</v>
      </c>
      <c r="K4" s="277">
        <v>0.95450000000000002</v>
      </c>
      <c r="L4" s="163">
        <f>SQRT((EquipmentSpecs[[#This Row],[Range Max]]*EquipmentSpecs[[#This Row],[%Range]]+EquipmentSpecs[[#This Row],[Constant]])^2+EquipmentSpecs[[#This Row],[Resolution]]^2/3+EquipmentSpecs[[#This Row],[Other2]]^2/2+EquipmentSpecs[[#This Row],[Other1]]^2/2)</f>
        <v>3.0005555041247498E-7</v>
      </c>
    </row>
    <row r="5" spans="2:20" x14ac:dyDescent="0.35">
      <c r="B5" s="143" t="s">
        <v>231</v>
      </c>
      <c r="C5" s="143" t="s">
        <v>237</v>
      </c>
      <c r="D5" s="161">
        <v>10</v>
      </c>
      <c r="E5" s="162">
        <v>7.9999999999999996E-6</v>
      </c>
      <c r="F5" s="164">
        <v>4.9999999999999998E-8</v>
      </c>
      <c r="G5" s="143">
        <v>0</v>
      </c>
      <c r="H5" s="163">
        <v>9.9999999999999995E-8</v>
      </c>
      <c r="I5" s="163">
        <v>0</v>
      </c>
      <c r="J5" s="143">
        <v>0</v>
      </c>
      <c r="K5" s="277">
        <v>0.95450000000000002</v>
      </c>
      <c r="L5" s="163">
        <f>SQRT((EquipmentSpecs[[#This Row],[Range Max]]*EquipmentSpecs[[#This Row],[%Range]]+EquipmentSpecs[[#This Row],[Constant]])^2+EquipmentSpecs[[#This Row],[Resolution]]^2/3+EquipmentSpecs[[#This Row],[Other2]]^2/2+EquipmentSpecs[[#This Row],[Other1]]^2/2)</f>
        <v>5.0332229568471666E-7</v>
      </c>
    </row>
    <row r="6" spans="2:20" x14ac:dyDescent="0.35">
      <c r="B6" s="143" t="s">
        <v>231</v>
      </c>
      <c r="C6" s="143" t="s">
        <v>238</v>
      </c>
      <c r="D6" s="161">
        <v>100</v>
      </c>
      <c r="E6" s="162">
        <v>1.0000000000000001E-5</v>
      </c>
      <c r="F6" s="162">
        <v>2.9999999999999999E-7</v>
      </c>
      <c r="G6" s="143">
        <v>0</v>
      </c>
      <c r="H6" s="163">
        <v>9.9999999999999995E-7</v>
      </c>
      <c r="I6" s="163">
        <v>0</v>
      </c>
      <c r="J6" s="143">
        <v>0</v>
      </c>
      <c r="K6" s="277">
        <v>0.95450000000000002</v>
      </c>
      <c r="L6" s="163">
        <f>SQRT((EquipmentSpecs[[#This Row],[Range Max]]*EquipmentSpecs[[#This Row],[%Range]]+EquipmentSpecs[[#This Row],[Constant]])^2+EquipmentSpecs[[#This Row],[Resolution]]^2/3+EquipmentSpecs[[#This Row],[Other2]]^2/2+EquipmentSpecs[[#This Row],[Other1]]^2/2)</f>
        <v>3.0005555041247499E-5</v>
      </c>
    </row>
    <row r="7" spans="2:20" x14ac:dyDescent="0.35">
      <c r="B7" s="143" t="s">
        <v>231</v>
      </c>
      <c r="C7" s="143" t="s">
        <v>239</v>
      </c>
      <c r="D7" s="161">
        <v>1000</v>
      </c>
      <c r="E7" s="162">
        <v>1.0000000000000001E-5</v>
      </c>
      <c r="F7" s="162">
        <v>9.9999999999999995E-8</v>
      </c>
      <c r="G7" s="143">
        <v>0</v>
      </c>
      <c r="H7" s="163">
        <v>1.0000000000000001E-5</v>
      </c>
      <c r="I7" s="163">
        <v>0</v>
      </c>
      <c r="J7" s="143">
        <v>0</v>
      </c>
      <c r="K7" s="277">
        <v>0.95450000000000002</v>
      </c>
      <c r="L7" s="163">
        <f>SQRT((EquipmentSpecs[[#This Row],[Range Max]]*EquipmentSpecs[[#This Row],[%Range]]+EquipmentSpecs[[#This Row],[Constant]])^2+EquipmentSpecs[[#This Row],[Resolution]]^2/3+EquipmentSpecs[[#This Row],[Other2]]^2/2+EquipmentSpecs[[#This Row],[Other1]]^2/2)</f>
        <v>1.0016652800877813E-4</v>
      </c>
    </row>
    <row r="8" spans="2:20" x14ac:dyDescent="0.35">
      <c r="B8" s="143"/>
      <c r="C8" s="143"/>
      <c r="D8" s="161"/>
      <c r="E8" s="162"/>
      <c r="F8" s="162"/>
      <c r="G8" s="143"/>
      <c r="H8" s="163"/>
      <c r="I8" s="163"/>
      <c r="J8" s="143"/>
      <c r="K8" s="143"/>
      <c r="L8" s="163">
        <f>SQRT((EquipmentSpecs[[#This Row],[Range Max]]*EquipmentSpecs[[#This Row],[%Range]]+EquipmentSpecs[[#This Row],[Constant]])^2+EquipmentSpecs[[#This Row],[Resolution]]^2/3+EquipmentSpecs[[#This Row],[Other2]]^2/2+EquipmentSpecs[[#This Row],[Other1]]^2/2)</f>
        <v>0</v>
      </c>
    </row>
    <row r="9" spans="2:20" x14ac:dyDescent="0.35">
      <c r="B9" s="143" t="s">
        <v>263</v>
      </c>
      <c r="C9" s="143" t="s">
        <v>254</v>
      </c>
      <c r="D9" s="161">
        <v>330</v>
      </c>
      <c r="E9" s="162">
        <v>3.0000000000000001E-5</v>
      </c>
      <c r="F9" s="162"/>
      <c r="G9" s="143">
        <v>2E-3</v>
      </c>
      <c r="H9" s="163"/>
      <c r="I9" s="163"/>
      <c r="J9" s="143"/>
      <c r="K9" s="277">
        <v>0.95450000000000002</v>
      </c>
      <c r="L9" s="163">
        <f>SQRT((EquipmentSpecs[[#This Row],[Range Max]]*EquipmentSpecs[[#This Row],[%Range]]+EquipmentSpecs[[#This Row],[Constant]])^2+EquipmentSpecs[[#This Row],[Resolution]]^2/3+EquipmentSpecs[[#This Row],[Other2]]^2/2+EquipmentSpecs[[#This Row],[Other1]]^2/2)</f>
        <v>2E-3</v>
      </c>
    </row>
    <row r="10" spans="2:20" x14ac:dyDescent="0.35">
      <c r="B10" s="143" t="s">
        <v>263</v>
      </c>
      <c r="C10" s="143" t="s">
        <v>255</v>
      </c>
      <c r="D10" s="161">
        <v>3.3</v>
      </c>
      <c r="E10" s="162">
        <v>2.0000000000000002E-5</v>
      </c>
      <c r="F10" s="162"/>
      <c r="G10" s="163">
        <v>1.9999999999999999E-6</v>
      </c>
      <c r="H10" s="163"/>
      <c r="I10" s="163"/>
      <c r="J10" s="143"/>
      <c r="K10" s="277">
        <v>0.95450000000000002</v>
      </c>
      <c r="L10" s="163">
        <f>SQRT((EquipmentSpecs[[#This Row],[Range Max]]*EquipmentSpecs[[#This Row],[%Range]]+EquipmentSpecs[[#This Row],[Constant]])^2+EquipmentSpecs[[#This Row],[Resolution]]^2/3+EquipmentSpecs[[#This Row],[Other2]]^2/2+EquipmentSpecs[[#This Row],[Other1]]^2/2)</f>
        <v>1.9999999999999999E-6</v>
      </c>
    </row>
    <row r="11" spans="2:20" x14ac:dyDescent="0.35">
      <c r="B11" s="143" t="s">
        <v>263</v>
      </c>
      <c r="C11" s="143" t="s">
        <v>256</v>
      </c>
      <c r="D11" s="161">
        <v>33</v>
      </c>
      <c r="E11" s="162">
        <v>2.0000000000000002E-5</v>
      </c>
      <c r="F11" s="162"/>
      <c r="G11" s="163">
        <v>2.0000000000000002E-5</v>
      </c>
      <c r="H11" s="163"/>
      <c r="I11" s="163"/>
      <c r="J11" s="143"/>
      <c r="K11" s="277">
        <v>0.95450000000000002</v>
      </c>
      <c r="L11" s="163">
        <f>SQRT((EquipmentSpecs[[#This Row],[Range Max]]*EquipmentSpecs[[#This Row],[%Range]]+EquipmentSpecs[[#This Row],[Constant]])^2+EquipmentSpecs[[#This Row],[Resolution]]^2/3+EquipmentSpecs[[#This Row],[Other2]]^2/2+EquipmentSpecs[[#This Row],[Other1]]^2/2)</f>
        <v>2.0000000000000002E-5</v>
      </c>
    </row>
    <row r="12" spans="2:20" x14ac:dyDescent="0.35">
      <c r="B12" s="143" t="s">
        <v>263</v>
      </c>
      <c r="C12" s="143" t="s">
        <v>257</v>
      </c>
      <c r="D12" s="161">
        <v>330</v>
      </c>
      <c r="E12" s="162">
        <v>3.0000000000000001E-5</v>
      </c>
      <c r="F12" s="162"/>
      <c r="G12" s="163">
        <v>1.4999999999999999E-4</v>
      </c>
      <c r="H12" s="163"/>
      <c r="I12" s="163"/>
      <c r="J12" s="143"/>
      <c r="K12" s="277">
        <v>0.95450000000000002</v>
      </c>
      <c r="L12" s="163">
        <f>SQRT((EquipmentSpecs[[#This Row],[Range Max]]*EquipmentSpecs[[#This Row],[%Range]]+EquipmentSpecs[[#This Row],[Constant]])^2+EquipmentSpecs[[#This Row],[Resolution]]^2/3+EquipmentSpecs[[#This Row],[Other2]]^2/2+EquipmentSpecs[[#This Row],[Other1]]^2/2)</f>
        <v>1.4999999999999999E-4</v>
      </c>
    </row>
    <row r="13" spans="2:20" x14ac:dyDescent="0.35">
      <c r="B13" s="143" t="s">
        <v>263</v>
      </c>
      <c r="C13" s="143" t="s">
        <v>239</v>
      </c>
      <c r="D13" s="161">
        <v>1000</v>
      </c>
      <c r="E13" s="162">
        <v>3.0000000000000001E-5</v>
      </c>
      <c r="F13" s="162"/>
      <c r="G13" s="163">
        <v>1.5E-3</v>
      </c>
      <c r="H13" s="163"/>
      <c r="I13" s="163"/>
      <c r="J13" s="143"/>
      <c r="K13" s="277">
        <v>0.95450000000000002</v>
      </c>
      <c r="L13" s="163">
        <f>SQRT((EquipmentSpecs[[#This Row],[Range Max]]*EquipmentSpecs[[#This Row],[%Range]]+EquipmentSpecs[[#This Row],[Constant]])^2+EquipmentSpecs[[#This Row],[Resolution]]^2/3+EquipmentSpecs[[#This Row],[Other2]]^2/2+EquipmentSpecs[[#This Row],[Other1]]^2/2)</f>
        <v>1.5E-3</v>
      </c>
    </row>
    <row r="14" spans="2:20" x14ac:dyDescent="0.35">
      <c r="B14" s="143"/>
      <c r="C14" s="143"/>
      <c r="D14" s="161"/>
      <c r="E14" s="162"/>
      <c r="F14" s="162"/>
      <c r="G14" s="143"/>
      <c r="H14" s="163"/>
      <c r="I14" s="163"/>
      <c r="J14" s="143"/>
      <c r="K14" s="143"/>
      <c r="L14" s="163">
        <f>SQRT((EquipmentSpecs[[#This Row],[Range Max]]*EquipmentSpecs[[#This Row],[%Range]]+EquipmentSpecs[[#This Row],[Constant]])^2+EquipmentSpecs[[#This Row],[Resolution]]^2/3+EquipmentSpecs[[#This Row],[Other2]]^2/2+EquipmentSpecs[[#This Row],[Other1]]^2/2)</f>
        <v>0</v>
      </c>
    </row>
    <row r="15" spans="2:20" x14ac:dyDescent="0.35">
      <c r="B15" s="143"/>
      <c r="C15" s="143"/>
      <c r="D15" s="161"/>
      <c r="E15" s="162"/>
      <c r="F15" s="162"/>
      <c r="G15" s="143"/>
      <c r="H15" s="163"/>
      <c r="I15" s="163"/>
      <c r="J15" s="143"/>
      <c r="K15" s="143"/>
      <c r="L15" s="163">
        <f>SQRT((EquipmentSpecs[[#This Row],[Range Max]]*EquipmentSpecs[[#This Row],[%Range]]+EquipmentSpecs[[#This Row],[Constant]])^2+EquipmentSpecs[[#This Row],[Resolution]]^2/3+EquipmentSpecs[[#This Row],[Other2]]^2/2+EquipmentSpecs[[#This Row],[Other1]]^2/2)</f>
        <v>0</v>
      </c>
    </row>
    <row r="18" spans="6:6" x14ac:dyDescent="0.35">
      <c r="F18" s="134"/>
    </row>
  </sheetData>
  <phoneticPr fontId="8"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7AFD7-765B-4F04-9407-7377BDECEC69}">
  <dimension ref="B1:G39"/>
  <sheetViews>
    <sheetView showGridLines="0" workbookViewId="0">
      <selection activeCell="G13" sqref="G13"/>
    </sheetView>
  </sheetViews>
  <sheetFormatPr defaultColWidth="9.1796875" defaultRowHeight="14.5" x14ac:dyDescent="0.35"/>
  <cols>
    <col min="1" max="1" width="2.54296875" style="184" customWidth="1"/>
    <col min="2" max="2" width="16.54296875" style="20" customWidth="1"/>
    <col min="3" max="3" width="9.1796875" style="184"/>
    <col min="4" max="4" width="35.453125" style="184" customWidth="1"/>
    <col min="5" max="5" width="11.54296875" style="184" customWidth="1"/>
    <col min="6" max="16384" width="9.1796875" style="184"/>
  </cols>
  <sheetData>
    <row r="1" spans="2:7" x14ac:dyDescent="0.35">
      <c r="B1" s="20">
        <v>9.9727134179682029</v>
      </c>
      <c r="C1" s="188" t="s">
        <v>142</v>
      </c>
    </row>
    <row r="2" spans="2:7" ht="15" thickBot="1" x14ac:dyDescent="0.4">
      <c r="B2" s="20">
        <v>10.240535111145824</v>
      </c>
    </row>
    <row r="3" spans="2:7" x14ac:dyDescent="0.35">
      <c r="B3" s="20">
        <v>10.225833068611051</v>
      </c>
      <c r="D3" s="350" t="s">
        <v>148</v>
      </c>
      <c r="E3" s="351"/>
      <c r="G3" s="84" t="s">
        <v>275</v>
      </c>
    </row>
    <row r="4" spans="2:7" x14ac:dyDescent="0.35">
      <c r="B4" s="20">
        <v>10.081314839374789</v>
      </c>
      <c r="D4" s="117" t="s">
        <v>114</v>
      </c>
      <c r="E4" s="54">
        <f>_xlfn.STDEV.S(B:B)</f>
        <v>0.16820807395501139</v>
      </c>
    </row>
    <row r="5" spans="2:7" x14ac:dyDescent="0.35">
      <c r="B5" s="20">
        <v>10.249262859779723</v>
      </c>
      <c r="D5" s="117" t="s">
        <v>112</v>
      </c>
      <c r="E5" s="54">
        <f>E4/SQRT(COUNT(B:B))</f>
        <v>3.7612468772771732E-2</v>
      </c>
    </row>
    <row r="6" spans="2:7" x14ac:dyDescent="0.35">
      <c r="B6" s="20">
        <v>10.030252223742202</v>
      </c>
      <c r="D6" s="117"/>
      <c r="E6" s="36"/>
    </row>
    <row r="7" spans="2:7" x14ac:dyDescent="0.35">
      <c r="B7" s="20">
        <v>9.7966849518854939</v>
      </c>
      <c r="D7" s="64" t="s">
        <v>115</v>
      </c>
      <c r="E7" s="130">
        <f>AVERAGE(B:B)</f>
        <v>10.051695617522771</v>
      </c>
    </row>
    <row r="8" spans="2:7" x14ac:dyDescent="0.35">
      <c r="B8" s="20">
        <v>10.190687520831332</v>
      </c>
      <c r="D8" s="64" t="s">
        <v>95</v>
      </c>
      <c r="E8" s="130">
        <f>E5</f>
        <v>3.7612468772771732E-2</v>
      </c>
    </row>
    <row r="9" spans="2:7" x14ac:dyDescent="0.35">
      <c r="B9" s="20">
        <v>10.188783041342731</v>
      </c>
      <c r="D9" s="64" t="s">
        <v>113</v>
      </c>
      <c r="E9" s="226">
        <f>COUNT(B:B)-1</f>
        <v>19</v>
      </c>
    </row>
    <row r="10" spans="2:7" ht="15" thickBot="1" x14ac:dyDescent="0.4">
      <c r="B10" s="20">
        <v>10.141291094108462</v>
      </c>
      <c r="D10" s="131" t="s">
        <v>248</v>
      </c>
      <c r="E10" s="227">
        <f>_xlfn.T.INV.2T(0.05,E9)*E8</f>
        <v>7.8723801887092631E-2</v>
      </c>
    </row>
    <row r="11" spans="2:7" x14ac:dyDescent="0.35">
      <c r="B11" s="20">
        <v>9.7663442504289755</v>
      </c>
    </row>
    <row r="12" spans="2:7" ht="15" thickBot="1" x14ac:dyDescent="0.4">
      <c r="B12" s="20">
        <v>10.182671553770849</v>
      </c>
    </row>
    <row r="13" spans="2:7" x14ac:dyDescent="0.35">
      <c r="B13" s="20">
        <v>10.210388236494438</v>
      </c>
      <c r="D13" s="350" t="s">
        <v>149</v>
      </c>
      <c r="E13" s="351"/>
      <c r="G13" s="84" t="s">
        <v>276</v>
      </c>
    </row>
    <row r="14" spans="2:7" x14ac:dyDescent="0.35">
      <c r="B14" s="20">
        <v>9.8050776175605598</v>
      </c>
      <c r="D14" s="22" t="s">
        <v>147</v>
      </c>
      <c r="E14" s="51">
        <v>1</v>
      </c>
    </row>
    <row r="15" spans="2:7" x14ac:dyDescent="0.35">
      <c r="B15" s="20">
        <v>9.9630818257396001</v>
      </c>
      <c r="D15" s="64" t="s">
        <v>95</v>
      </c>
      <c r="E15" s="130">
        <f>_xlfn.STDEV.S(B:B) / SQRT(E14)</f>
        <v>0.16820807395501139</v>
      </c>
    </row>
    <row r="16" spans="2:7" x14ac:dyDescent="0.35">
      <c r="B16" s="20">
        <v>10.068881639054325</v>
      </c>
      <c r="D16" s="64" t="s">
        <v>113</v>
      </c>
      <c r="E16" s="226">
        <f>COUNT(B:B)-1</f>
        <v>19</v>
      </c>
    </row>
    <row r="17" spans="2:7" x14ac:dyDescent="0.35">
      <c r="B17" s="20">
        <v>10.069407301833898</v>
      </c>
      <c r="D17" s="64" t="s">
        <v>248</v>
      </c>
      <c r="E17" s="130">
        <f>_xlfn.T.INV.2T(0.05,E16)*E15</f>
        <v>0.3520635449335307</v>
      </c>
    </row>
    <row r="18" spans="2:7" ht="15" thickBot="1" x14ac:dyDescent="0.4">
      <c r="B18" s="20">
        <v>9.8414566526019982</v>
      </c>
      <c r="D18" s="131"/>
      <c r="E18" s="227"/>
    </row>
    <row r="19" spans="2:7" x14ac:dyDescent="0.35">
      <c r="B19" s="20">
        <v>9.814693870384243</v>
      </c>
    </row>
    <row r="20" spans="2:7" x14ac:dyDescent="0.35">
      <c r="B20" s="20">
        <v>10.194551273796703</v>
      </c>
    </row>
    <row r="29" spans="2:7" x14ac:dyDescent="0.35">
      <c r="D29" s="187"/>
      <c r="E29" s="187"/>
      <c r="F29" s="187"/>
      <c r="G29" s="187"/>
    </row>
    <row r="30" spans="2:7" x14ac:dyDescent="0.35">
      <c r="D30" s="187"/>
      <c r="E30" s="349"/>
      <c r="F30" s="349"/>
      <c r="G30" s="187"/>
    </row>
    <row r="31" spans="2:7" x14ac:dyDescent="0.35">
      <c r="D31" s="187"/>
      <c r="E31" s="192"/>
      <c r="F31" s="224"/>
      <c r="G31" s="187"/>
    </row>
    <row r="32" spans="2:7" x14ac:dyDescent="0.35">
      <c r="D32" s="187"/>
      <c r="E32" s="192"/>
      <c r="F32" s="189"/>
      <c r="G32" s="187"/>
    </row>
    <row r="33" spans="4:7" x14ac:dyDescent="0.35">
      <c r="D33" s="187"/>
      <c r="E33" s="192"/>
      <c r="F33" s="189"/>
      <c r="G33" s="187"/>
    </row>
    <row r="34" spans="4:7" x14ac:dyDescent="0.35">
      <c r="D34" s="187"/>
      <c r="E34" s="192"/>
      <c r="F34" s="189"/>
      <c r="G34" s="187"/>
    </row>
    <row r="35" spans="4:7" x14ac:dyDescent="0.35">
      <c r="D35" s="187"/>
      <c r="E35" s="192"/>
      <c r="F35" s="189"/>
      <c r="G35" s="187"/>
    </row>
    <row r="36" spans="4:7" x14ac:dyDescent="0.35">
      <c r="D36" s="187"/>
      <c r="E36" s="183"/>
      <c r="F36" s="225"/>
      <c r="G36" s="187"/>
    </row>
    <row r="37" spans="4:7" x14ac:dyDescent="0.35">
      <c r="D37" s="187"/>
      <c r="E37" s="183"/>
      <c r="F37" s="191"/>
      <c r="G37" s="187"/>
    </row>
    <row r="38" spans="4:7" x14ac:dyDescent="0.35">
      <c r="D38" s="187"/>
      <c r="E38" s="187"/>
      <c r="F38" s="187"/>
      <c r="G38" s="187"/>
    </row>
    <row r="39" spans="4:7" x14ac:dyDescent="0.35">
      <c r="D39" s="187"/>
      <c r="E39" s="187"/>
      <c r="F39" s="187"/>
      <c r="G39" s="187"/>
    </row>
  </sheetData>
  <mergeCells count="3">
    <mergeCell ref="E30:F30"/>
    <mergeCell ref="D3:E3"/>
    <mergeCell ref="D13:E1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73A40-6FCC-4517-BFE5-29C4267CBF79}">
  <dimension ref="A1:R52"/>
  <sheetViews>
    <sheetView showGridLines="0" workbookViewId="0">
      <selection activeCell="N33" sqref="N33"/>
    </sheetView>
  </sheetViews>
  <sheetFormatPr defaultColWidth="9.1796875" defaultRowHeight="14.5" x14ac:dyDescent="0.35"/>
  <cols>
    <col min="1" max="1" width="4.1796875" style="184" customWidth="1"/>
    <col min="2" max="2" width="24.54296875" style="184" customWidth="1"/>
    <col min="3" max="7" width="8.7265625" style="184" customWidth="1"/>
    <col min="8" max="8" width="9.1796875" style="184"/>
    <col min="9" max="9" width="9.54296875" style="184" bestFit="1" customWidth="1"/>
    <col min="10" max="13" width="9.1796875" style="184"/>
    <col min="14" max="14" width="35" style="184" customWidth="1"/>
    <col min="15" max="15" width="11.1796875" style="184" customWidth="1"/>
    <col min="16" max="16384" width="9.1796875" style="184"/>
  </cols>
  <sheetData>
    <row r="1" spans="2:18" x14ac:dyDescent="0.35">
      <c r="B1" s="188" t="s">
        <v>141</v>
      </c>
    </row>
    <row r="2" spans="2:18" ht="15" thickBot="1" x14ac:dyDescent="0.4"/>
    <row r="3" spans="2:18" x14ac:dyDescent="0.35">
      <c r="B3" s="46" t="s">
        <v>116</v>
      </c>
      <c r="C3" s="47" t="s">
        <v>117</v>
      </c>
      <c r="D3" s="47" t="s">
        <v>118</v>
      </c>
      <c r="E3" s="47" t="s">
        <v>119</v>
      </c>
      <c r="F3" s="47" t="s">
        <v>85</v>
      </c>
      <c r="G3" s="47" t="s">
        <v>120</v>
      </c>
      <c r="H3" s="47" t="s">
        <v>121</v>
      </c>
      <c r="I3" s="47" t="s">
        <v>122</v>
      </c>
      <c r="J3" s="47" t="s">
        <v>123</v>
      </c>
      <c r="K3" s="47" t="s">
        <v>124</v>
      </c>
      <c r="L3" s="48" t="s">
        <v>125</v>
      </c>
      <c r="N3" s="350" t="s">
        <v>143</v>
      </c>
      <c r="O3" s="352"/>
      <c r="P3" s="223" t="s">
        <v>150</v>
      </c>
    </row>
    <row r="4" spans="2:18" x14ac:dyDescent="0.35">
      <c r="B4" s="119">
        <v>1</v>
      </c>
      <c r="C4" s="42">
        <v>0.95100574944459848</v>
      </c>
      <c r="D4" s="42">
        <v>1.0089414502837615</v>
      </c>
      <c r="E4" s="42">
        <v>1.0131851442314403</v>
      </c>
      <c r="F4" s="42">
        <v>0.96616113302014295</v>
      </c>
      <c r="G4" s="42">
        <v>1.0070693491201097</v>
      </c>
      <c r="H4" s="42">
        <v>0.96762169560985845</v>
      </c>
      <c r="I4" s="42">
        <v>0.95905446543704365</v>
      </c>
      <c r="J4" s="42">
        <v>1.0166920807863777</v>
      </c>
      <c r="K4" s="42">
        <v>1.0330824358742465</v>
      </c>
      <c r="L4" s="43">
        <v>0.98005457129563145</v>
      </c>
      <c r="N4" s="117" t="s">
        <v>133</v>
      </c>
      <c r="O4" s="217">
        <f>AVERAGE(C18:L18)</f>
        <v>0.99740092926192081</v>
      </c>
      <c r="P4" s="30"/>
    </row>
    <row r="5" spans="2:18" x14ac:dyDescent="0.35">
      <c r="B5" s="119">
        <v>2</v>
      </c>
      <c r="C5" s="42">
        <v>0.95833468053270421</v>
      </c>
      <c r="D5" s="42">
        <v>0.95467783547008311</v>
      </c>
      <c r="E5" s="42">
        <v>0.99784840551071352</v>
      </c>
      <c r="F5" s="42">
        <v>0.98743674026720729</v>
      </c>
      <c r="G5" s="42">
        <v>1.0267428383054147</v>
      </c>
      <c r="H5" s="42">
        <v>1.0039116199958584</v>
      </c>
      <c r="I5" s="42">
        <v>1.0058741539364873</v>
      </c>
      <c r="J5" s="42">
        <v>1.0179957783252949</v>
      </c>
      <c r="K5" s="42">
        <v>1.0399925058923507</v>
      </c>
      <c r="L5" s="43">
        <v>0.95859886711043485</v>
      </c>
      <c r="N5" s="117" t="s">
        <v>151</v>
      </c>
      <c r="O5" s="217">
        <f>SQRT(AVERAGE(C19:L19))</f>
        <v>3.0764629606126196E-2</v>
      </c>
      <c r="P5" s="30">
        <f>SUM(C22:L22)</f>
        <v>90</v>
      </c>
    </row>
    <row r="6" spans="2:18" ht="15" thickBot="1" x14ac:dyDescent="0.4">
      <c r="B6" s="119">
        <v>3</v>
      </c>
      <c r="C6" s="42">
        <v>0.95919194818780329</v>
      </c>
      <c r="D6" s="42">
        <v>0.96017071518134078</v>
      </c>
      <c r="E6" s="42">
        <v>0.99751526247766931</v>
      </c>
      <c r="F6" s="42">
        <v>0.95251629321321007</v>
      </c>
      <c r="G6" s="42">
        <v>1.0392296896975997</v>
      </c>
      <c r="H6" s="42">
        <v>0.97401559273686367</v>
      </c>
      <c r="I6" s="42">
        <v>1.0058888707533684</v>
      </c>
      <c r="J6" s="42">
        <v>1.0222282889678569</v>
      </c>
      <c r="K6" s="42">
        <v>1.0451534425062852</v>
      </c>
      <c r="L6" s="43">
        <v>0.96818915572785702</v>
      </c>
      <c r="N6" s="118" t="s">
        <v>152</v>
      </c>
      <c r="O6" s="218">
        <f>_xlfn.STDEV.S(C18:L18)</f>
        <v>1.063709694663911E-2</v>
      </c>
      <c r="P6" s="34">
        <f>C23-1</f>
        <v>9</v>
      </c>
    </row>
    <row r="7" spans="2:18" ht="15" thickBot="1" x14ac:dyDescent="0.4">
      <c r="B7" s="119">
        <v>4</v>
      </c>
      <c r="C7" s="42">
        <v>1.0495805914391407</v>
      </c>
      <c r="D7" s="42">
        <v>1.0378705491297178</v>
      </c>
      <c r="E7" s="42">
        <v>1.022895259978355</v>
      </c>
      <c r="F7" s="42">
        <v>0.98582617553482255</v>
      </c>
      <c r="G7" s="42">
        <v>1.0180462807871891</v>
      </c>
      <c r="H7" s="42">
        <v>0.9518254163310691</v>
      </c>
      <c r="I7" s="42">
        <v>0.97295388412607342</v>
      </c>
      <c r="J7" s="42">
        <v>0.95036333433013542</v>
      </c>
      <c r="K7" s="42">
        <v>1.0357883666144982</v>
      </c>
      <c r="L7" s="43">
        <v>0.98732078400474577</v>
      </c>
    </row>
    <row r="8" spans="2:18" x14ac:dyDescent="0.35">
      <c r="B8" s="119">
        <v>5</v>
      </c>
      <c r="C8" s="42">
        <v>1.0319067477961894</v>
      </c>
      <c r="D8" s="42">
        <v>0.96279528171364115</v>
      </c>
      <c r="E8" s="42">
        <v>0.99967938543515222</v>
      </c>
      <c r="F8" s="42">
        <v>0.98253551226186464</v>
      </c>
      <c r="G8" s="42">
        <v>1.036471285230625</v>
      </c>
      <c r="H8" s="42">
        <v>1.0034710351612841</v>
      </c>
      <c r="I8" s="42">
        <v>1.0222604354488563</v>
      </c>
      <c r="J8" s="42">
        <v>0.97009614180777382</v>
      </c>
      <c r="K8" s="42">
        <v>1.0364220898371062</v>
      </c>
      <c r="L8" s="43">
        <v>0.9647449276678659</v>
      </c>
      <c r="N8" s="350" t="s">
        <v>153</v>
      </c>
      <c r="O8" s="351"/>
      <c r="Q8" s="84" t="s">
        <v>275</v>
      </c>
    </row>
    <row r="9" spans="2:18" x14ac:dyDescent="0.35">
      <c r="B9" s="119">
        <v>6</v>
      </c>
      <c r="C9" s="42">
        <v>1.032689137453298</v>
      </c>
      <c r="D9" s="42">
        <v>0.96672349594857176</v>
      </c>
      <c r="E9" s="42">
        <v>1.0192107711287739</v>
      </c>
      <c r="F9" s="42">
        <v>0.99218358822493968</v>
      </c>
      <c r="G9" s="42">
        <v>0.98317196118423289</v>
      </c>
      <c r="H9" s="42">
        <v>0.97926225280450852</v>
      </c>
      <c r="I9" s="42">
        <v>1.0080344678277253</v>
      </c>
      <c r="J9" s="42">
        <v>1.0381783615522351</v>
      </c>
      <c r="K9" s="42">
        <v>0.98303540538579082</v>
      </c>
      <c r="L9" s="43">
        <v>1.027770539608224</v>
      </c>
      <c r="N9" s="64" t="s">
        <v>95</v>
      </c>
      <c r="O9" s="219">
        <f>IF(E33,E35,E34)</f>
        <v>3.1036785597597155E-3</v>
      </c>
    </row>
    <row r="10" spans="2:18" x14ac:dyDescent="0.35">
      <c r="B10" s="119">
        <v>7</v>
      </c>
      <c r="C10" s="42">
        <v>1.0048389722992093</v>
      </c>
      <c r="D10" s="42">
        <v>1.0476563806110826</v>
      </c>
      <c r="E10" s="42">
        <v>0.99156369347338957</v>
      </c>
      <c r="F10" s="42">
        <v>0.99653242653845497</v>
      </c>
      <c r="G10" s="42">
        <v>1.0337083000295446</v>
      </c>
      <c r="H10" s="42">
        <v>1.0236483655978283</v>
      </c>
      <c r="I10" s="42">
        <v>1.0197002789808545</v>
      </c>
      <c r="J10" s="42">
        <v>0.95417670263558163</v>
      </c>
      <c r="K10" s="42">
        <v>1.0414120825400957</v>
      </c>
      <c r="L10" s="43">
        <v>0.97322765385174725</v>
      </c>
      <c r="N10" s="64" t="s">
        <v>113</v>
      </c>
      <c r="O10" s="30">
        <f>IF(E33,F35,F34)</f>
        <v>99</v>
      </c>
    </row>
    <row r="11" spans="2:18" x14ac:dyDescent="0.35">
      <c r="B11" s="119">
        <v>8</v>
      </c>
      <c r="C11" s="42">
        <v>1.0475196445385351</v>
      </c>
      <c r="D11" s="42">
        <v>0.95285266847085093</v>
      </c>
      <c r="E11" s="42">
        <v>0.97403470328874375</v>
      </c>
      <c r="F11" s="42">
        <v>0.96524289162517918</v>
      </c>
      <c r="G11" s="42">
        <v>0.95035331168867687</v>
      </c>
      <c r="H11" s="42">
        <v>1.0291231884253123</v>
      </c>
      <c r="I11" s="42">
        <v>1.0166753183121011</v>
      </c>
      <c r="J11" s="42">
        <v>0.97866817777847803</v>
      </c>
      <c r="K11" s="42">
        <v>0.99220431243398832</v>
      </c>
      <c r="L11" s="43">
        <v>1.0353301968463253</v>
      </c>
      <c r="N11" s="64" t="s">
        <v>248</v>
      </c>
      <c r="O11" s="220">
        <f>_xlfn.T.INV.2T(0.05,O10)*O9</f>
        <v>6.1583716105505426E-3</v>
      </c>
    </row>
    <row r="12" spans="2:18" ht="15" thickBot="1" x14ac:dyDescent="0.4">
      <c r="B12" s="119">
        <v>9</v>
      </c>
      <c r="C12" s="42">
        <v>0.95565438268825709</v>
      </c>
      <c r="D12" s="42">
        <v>1.0293433193907469</v>
      </c>
      <c r="E12" s="42">
        <v>0.98272257299853605</v>
      </c>
      <c r="F12" s="42">
        <v>1.013055788740602</v>
      </c>
      <c r="G12" s="42">
        <v>0.96503839278886594</v>
      </c>
      <c r="H12" s="42">
        <v>0.96970735367886696</v>
      </c>
      <c r="I12" s="42">
        <v>0.96446010925623682</v>
      </c>
      <c r="J12" s="42">
        <v>0.96961066331085188</v>
      </c>
      <c r="K12" s="42">
        <v>0.96958493998084672</v>
      </c>
      <c r="L12" s="43">
        <v>1.0094442974365092</v>
      </c>
      <c r="N12" s="37"/>
      <c r="O12" s="38"/>
    </row>
    <row r="13" spans="2:18" ht="15" thickBot="1" x14ac:dyDescent="0.4">
      <c r="B13" s="49">
        <v>10</v>
      </c>
      <c r="C13" s="44">
        <v>0.99311523072285546</v>
      </c>
      <c r="D13" s="44">
        <v>0.95638034449589981</v>
      </c>
      <c r="E13" s="44">
        <v>1.0152921455642672</v>
      </c>
      <c r="F13" s="44">
        <v>0.95916628540863602</v>
      </c>
      <c r="G13" s="44">
        <v>0.95144831715007361</v>
      </c>
      <c r="H13" s="44">
        <v>1.0213780080586501</v>
      </c>
      <c r="I13" s="44">
        <v>1.0486109132585528</v>
      </c>
      <c r="J13" s="44">
        <v>1.0412775805143282</v>
      </c>
      <c r="K13" s="44">
        <v>1.0278781389901148</v>
      </c>
      <c r="L13" s="45">
        <v>1.0369606461383867</v>
      </c>
    </row>
    <row r="14" spans="2:18" x14ac:dyDescent="0.35">
      <c r="B14" s="190"/>
      <c r="N14" s="350" t="s">
        <v>149</v>
      </c>
      <c r="O14" s="351"/>
      <c r="P14" s="186"/>
      <c r="Q14" s="84" t="s">
        <v>276</v>
      </c>
      <c r="R14" s="186"/>
    </row>
    <row r="15" spans="2:18" x14ac:dyDescent="0.35">
      <c r="N15" s="119" t="s">
        <v>147</v>
      </c>
      <c r="O15" s="52">
        <v>1</v>
      </c>
      <c r="P15" s="183"/>
      <c r="Q15" s="183"/>
      <c r="R15" s="187"/>
    </row>
    <row r="16" spans="2:18" x14ac:dyDescent="0.35">
      <c r="N16" s="64" t="s">
        <v>95</v>
      </c>
      <c r="O16" s="221">
        <f>IF(E33,O6/SQRT(O15),O5/SQRT(O15))</f>
        <v>3.0764629606126196E-2</v>
      </c>
      <c r="P16" s="183"/>
      <c r="Q16" s="183"/>
      <c r="R16" s="187"/>
    </row>
    <row r="17" spans="2:18" ht="15" thickBot="1" x14ac:dyDescent="0.4">
      <c r="N17" s="64" t="s">
        <v>113</v>
      </c>
      <c r="O17" s="30">
        <f>IF(E33,F35,F34)</f>
        <v>99</v>
      </c>
      <c r="P17" s="183"/>
      <c r="Q17" s="183"/>
      <c r="R17" s="187"/>
    </row>
    <row r="18" spans="2:18" ht="15" thickBot="1" x14ac:dyDescent="0.4">
      <c r="B18" s="194" t="s">
        <v>126</v>
      </c>
      <c r="C18" s="195">
        <f t="shared" ref="C18:L18" si="0">_xlfn.LET(_xlpm.avg, AVERAGE(C4:C13), IF(ISNUMBER(_xlpm.avg), _xlpm.avg, ""))</f>
        <v>0.99838370851025915</v>
      </c>
      <c r="D18" s="195">
        <f t="shared" si="0"/>
        <v>0.98774120406956967</v>
      </c>
      <c r="E18" s="195">
        <f t="shared" si="0"/>
        <v>1.0013947344087044</v>
      </c>
      <c r="F18" s="195">
        <f t="shared" si="0"/>
        <v>0.98006568348350598</v>
      </c>
      <c r="G18" s="195">
        <f t="shared" si="0"/>
        <v>1.0011279725982334</v>
      </c>
      <c r="H18" s="195">
        <f t="shared" si="0"/>
        <v>0.99239645284000988</v>
      </c>
      <c r="I18" s="195">
        <f t="shared" si="0"/>
        <v>1.0023512897337299</v>
      </c>
      <c r="J18" s="195">
        <f t="shared" si="0"/>
        <v>0.99592871100089153</v>
      </c>
      <c r="K18" s="195">
        <f t="shared" si="0"/>
        <v>1.0204553720055323</v>
      </c>
      <c r="L18" s="196">
        <f t="shared" si="0"/>
        <v>0.99416416396877272</v>
      </c>
      <c r="N18" s="131" t="s">
        <v>248</v>
      </c>
      <c r="O18" s="222">
        <f>_xlfn.T.INV.2T(0.05,O17)*O16</f>
        <v>6.1043699573752941E-2</v>
      </c>
      <c r="P18" s="187"/>
      <c r="Q18" s="187"/>
      <c r="R18" s="187"/>
    </row>
    <row r="19" spans="2:18" x14ac:dyDescent="0.35">
      <c r="B19" s="197" t="s">
        <v>127</v>
      </c>
      <c r="C19" s="198">
        <f t="shared" ref="C19:L19" si="1">_xlfn.LET(_xlpm.v, _xlfn.VAR.S(C4:C13), IF(ISNUMBER(_xlpm.v), _xlpm.v, ""))</f>
        <v>1.6239922163635194E-3</v>
      </c>
      <c r="D19" s="198">
        <f t="shared" si="1"/>
        <v>1.4890045313167089E-3</v>
      </c>
      <c r="E19" s="198">
        <f t="shared" si="1"/>
        <v>2.5958611316653367E-4</v>
      </c>
      <c r="F19" s="198">
        <f t="shared" si="1"/>
        <v>3.5652950158123625E-4</v>
      </c>
      <c r="G19" s="198">
        <f t="shared" si="1"/>
        <v>1.2678921393417136E-3</v>
      </c>
      <c r="H19" s="198">
        <f t="shared" si="1"/>
        <v>7.4507413306164848E-4</v>
      </c>
      <c r="I19" s="198">
        <f t="shared" si="1"/>
        <v>8.0825329421134614E-4</v>
      </c>
      <c r="J19" s="198">
        <f t="shared" si="1"/>
        <v>1.2142905278206308E-3</v>
      </c>
      <c r="K19" s="198">
        <f t="shared" si="1"/>
        <v>7.6907023779560326E-4</v>
      </c>
      <c r="L19" s="199">
        <f t="shared" si="1"/>
        <v>9.3093165336242392E-4</v>
      </c>
    </row>
    <row r="20" spans="2:18" x14ac:dyDescent="0.35">
      <c r="B20" s="197" t="s">
        <v>128</v>
      </c>
      <c r="C20" s="198">
        <f t="shared" ref="C20:L20" si="2">_xlfn.LET(_xlpm.s, _xlfn.STDEV.S(C4:C13), IF(ISNUMBER(_xlpm.s), _xlpm.s, ""))</f>
        <v>4.0298786785255947E-2</v>
      </c>
      <c r="D20" s="198">
        <f t="shared" si="2"/>
        <v>3.8587621477835468E-2</v>
      </c>
      <c r="E20" s="198">
        <f t="shared" si="2"/>
        <v>1.6111676299086129E-2</v>
      </c>
      <c r="F20" s="198">
        <f t="shared" si="2"/>
        <v>1.8881988814244018E-2</v>
      </c>
      <c r="G20" s="198">
        <f t="shared" si="2"/>
        <v>3.5607473082791392E-2</v>
      </c>
      <c r="H20" s="198">
        <f t="shared" si="2"/>
        <v>2.7296046106746824E-2</v>
      </c>
      <c r="I20" s="198">
        <f t="shared" si="2"/>
        <v>2.8429795887613161E-2</v>
      </c>
      <c r="J20" s="198">
        <f t="shared" si="2"/>
        <v>3.4846671689282335E-2</v>
      </c>
      <c r="K20" s="198">
        <f t="shared" si="2"/>
        <v>2.7732115638652657E-2</v>
      </c>
      <c r="L20" s="199">
        <f t="shared" si="2"/>
        <v>3.0511172598941916E-2</v>
      </c>
    </row>
    <row r="21" spans="2:18" x14ac:dyDescent="0.35">
      <c r="B21" s="197" t="s">
        <v>129</v>
      </c>
      <c r="C21" s="198">
        <f t="shared" ref="C21:L21" si="3">_xlfn.LET(_xlpm.c, COUNT(C4:C13), IF(_xlpm.c&gt;0, _xlpm.c, ""))</f>
        <v>10</v>
      </c>
      <c r="D21" s="198">
        <f t="shared" si="3"/>
        <v>10</v>
      </c>
      <c r="E21" s="198">
        <f t="shared" si="3"/>
        <v>10</v>
      </c>
      <c r="F21" s="198">
        <f t="shared" si="3"/>
        <v>10</v>
      </c>
      <c r="G21" s="198">
        <f t="shared" si="3"/>
        <v>10</v>
      </c>
      <c r="H21" s="198">
        <f t="shared" si="3"/>
        <v>10</v>
      </c>
      <c r="I21" s="198">
        <f t="shared" si="3"/>
        <v>10</v>
      </c>
      <c r="J21" s="198">
        <f t="shared" si="3"/>
        <v>10</v>
      </c>
      <c r="K21" s="198">
        <f t="shared" si="3"/>
        <v>10</v>
      </c>
      <c r="L21" s="199">
        <f t="shared" si="3"/>
        <v>10</v>
      </c>
    </row>
    <row r="22" spans="2:18" x14ac:dyDescent="0.35">
      <c r="B22" s="197" t="s">
        <v>132</v>
      </c>
      <c r="C22" s="198">
        <f t="shared" ref="C22:L22" si="4">C21-1</f>
        <v>9</v>
      </c>
      <c r="D22" s="198">
        <f t="shared" si="4"/>
        <v>9</v>
      </c>
      <c r="E22" s="198">
        <f t="shared" si="4"/>
        <v>9</v>
      </c>
      <c r="F22" s="198">
        <f t="shared" si="4"/>
        <v>9</v>
      </c>
      <c r="G22" s="198">
        <f t="shared" si="4"/>
        <v>9</v>
      </c>
      <c r="H22" s="198">
        <f t="shared" si="4"/>
        <v>9</v>
      </c>
      <c r="I22" s="198">
        <f t="shared" si="4"/>
        <v>9</v>
      </c>
      <c r="J22" s="198">
        <f t="shared" si="4"/>
        <v>9</v>
      </c>
      <c r="K22" s="198">
        <f t="shared" si="4"/>
        <v>9</v>
      </c>
      <c r="L22" s="199">
        <f t="shared" si="4"/>
        <v>9</v>
      </c>
    </row>
    <row r="23" spans="2:18" x14ac:dyDescent="0.35">
      <c r="B23" s="197" t="s">
        <v>130</v>
      </c>
      <c r="C23" s="198">
        <f>COUNT(C18:L18)</f>
        <v>10</v>
      </c>
      <c r="D23" s="198"/>
      <c r="E23" s="198"/>
      <c r="F23" s="198"/>
      <c r="G23" s="198"/>
      <c r="H23" s="198"/>
      <c r="I23" s="198"/>
      <c r="J23" s="198"/>
      <c r="K23" s="198"/>
      <c r="L23" s="199"/>
    </row>
    <row r="24" spans="2:18" ht="15" thickBot="1" x14ac:dyDescent="0.4">
      <c r="B24" s="200" t="s">
        <v>131</v>
      </c>
      <c r="C24" s="201">
        <f>SUM(C21:L21)</f>
        <v>100</v>
      </c>
      <c r="D24" s="201"/>
      <c r="E24" s="201"/>
      <c r="F24" s="201"/>
      <c r="G24" s="201"/>
      <c r="H24" s="201"/>
      <c r="I24" s="201"/>
      <c r="J24" s="201"/>
      <c r="K24" s="201"/>
      <c r="L24" s="202"/>
    </row>
    <row r="25" spans="2:18" ht="15" thickBot="1" x14ac:dyDescent="0.4"/>
    <row r="26" spans="2:18" x14ac:dyDescent="0.35">
      <c r="B26" s="203"/>
      <c r="C26" s="195"/>
      <c r="D26" s="204" t="s">
        <v>144</v>
      </c>
      <c r="E26" s="205" t="s">
        <v>84</v>
      </c>
      <c r="F26" s="206" t="s">
        <v>132</v>
      </c>
      <c r="G26" s="207"/>
    </row>
    <row r="27" spans="2:18" x14ac:dyDescent="0.35">
      <c r="B27" s="208"/>
      <c r="C27" s="198"/>
      <c r="D27" s="209" t="s">
        <v>156</v>
      </c>
      <c r="E27" s="210">
        <v>0.95</v>
      </c>
      <c r="F27" s="211"/>
      <c r="G27" s="212"/>
    </row>
    <row r="28" spans="2:18" x14ac:dyDescent="0.35">
      <c r="B28" s="208"/>
      <c r="C28" s="198"/>
      <c r="D28" s="213" t="s">
        <v>134</v>
      </c>
      <c r="E28" s="198">
        <f>_xlfn.VAR.S(C18:L18)</f>
        <v>1.1314783145219908E-4</v>
      </c>
      <c r="F28" s="198">
        <f>C23-1</f>
        <v>9</v>
      </c>
      <c r="G28" s="199"/>
    </row>
    <row r="29" spans="2:18" x14ac:dyDescent="0.35">
      <c r="B29" s="208"/>
      <c r="C29" s="213" t="s">
        <v>155</v>
      </c>
      <c r="D29" s="213" t="s">
        <v>135</v>
      </c>
      <c r="E29" s="198" cm="1">
        <f t="array" ref="E29">SUM(C21:L21*(C18:L18-O4)^2)/(C23-1)</f>
        <v>1.1314783145219905E-3</v>
      </c>
      <c r="F29" s="198">
        <f>C23-1</f>
        <v>9</v>
      </c>
      <c r="G29" s="199"/>
    </row>
    <row r="30" spans="2:18" x14ac:dyDescent="0.35">
      <c r="B30" s="208"/>
      <c r="C30" s="213" t="s">
        <v>154</v>
      </c>
      <c r="D30" s="213" t="s">
        <v>136</v>
      </c>
      <c r="E30" s="198" cm="1">
        <f t="array" ref="E30">IF(C23&gt;1, SUM((C21:L21-1)*C19:L19)/SUM(C21:L21-1), C19/C21^2)</f>
        <v>9.4646243480213648E-4</v>
      </c>
      <c r="F30" s="198">
        <f>C24-C23</f>
        <v>90</v>
      </c>
      <c r="G30" s="199"/>
    </row>
    <row r="31" spans="2:18" x14ac:dyDescent="0.35">
      <c r="B31" s="208"/>
      <c r="C31" s="198"/>
      <c r="D31" s="213" t="s">
        <v>121</v>
      </c>
      <c r="E31" s="198">
        <f>E29/E30</f>
        <v>1.1954814823247926</v>
      </c>
      <c r="F31" s="198"/>
      <c r="G31" s="199"/>
    </row>
    <row r="32" spans="2:18" x14ac:dyDescent="0.35">
      <c r="B32" s="208"/>
      <c r="C32" s="198"/>
      <c r="D32" s="213" t="s">
        <v>137</v>
      </c>
      <c r="E32" s="214">
        <f>_xlfn.F.INV(E27,F29,F30)</f>
        <v>1.9855949637305008</v>
      </c>
      <c r="F32" s="198"/>
      <c r="G32" s="199"/>
    </row>
    <row r="33" spans="1:7" x14ac:dyDescent="0.35">
      <c r="B33" s="208"/>
      <c r="C33" s="198"/>
      <c r="D33" s="213" t="s">
        <v>138</v>
      </c>
      <c r="E33" s="198" t="b">
        <f>IF(NOT(ISNUMBER(E31)), FALSE, E31&gt;E32)</f>
        <v>0</v>
      </c>
      <c r="F33" s="198"/>
      <c r="G33" s="199"/>
    </row>
    <row r="34" spans="1:7" x14ac:dyDescent="0.35">
      <c r="B34" s="208"/>
      <c r="C34" s="198"/>
      <c r="D34" s="213" t="s">
        <v>139</v>
      </c>
      <c r="E34" s="198">
        <f>IF(C23&gt;1,SQRT((F29*E29+F30*E30)/(F29+F30)/C24),SQRT(E30/C21))</f>
        <v>3.1036785597597155E-3</v>
      </c>
      <c r="F34" s="198">
        <f>F29+F30</f>
        <v>99</v>
      </c>
      <c r="G34" s="199"/>
    </row>
    <row r="35" spans="1:7" ht="15" thickBot="1" x14ac:dyDescent="0.4">
      <c r="B35" s="215"/>
      <c r="C35" s="201"/>
      <c r="D35" s="216" t="s">
        <v>140</v>
      </c>
      <c r="E35" s="201">
        <f>SQRT(E28/C23)</f>
        <v>3.3637454043402137E-3</v>
      </c>
      <c r="F35" s="201">
        <f>C23-1</f>
        <v>9</v>
      </c>
      <c r="G35" s="202"/>
    </row>
    <row r="43" spans="1:7" x14ac:dyDescent="0.35">
      <c r="A43" s="193"/>
    </row>
    <row r="44" spans="1:7" x14ac:dyDescent="0.35">
      <c r="A44" s="193"/>
    </row>
    <row r="45" spans="1:7" x14ac:dyDescent="0.35">
      <c r="A45" s="193"/>
    </row>
    <row r="46" spans="1:7" x14ac:dyDescent="0.35">
      <c r="A46" s="193"/>
    </row>
    <row r="47" spans="1:7" x14ac:dyDescent="0.35">
      <c r="A47" s="193"/>
    </row>
    <row r="48" spans="1:7" x14ac:dyDescent="0.35">
      <c r="A48" s="193"/>
    </row>
    <row r="49" spans="1:4" x14ac:dyDescent="0.35">
      <c r="A49" s="193"/>
    </row>
    <row r="50" spans="1:4" x14ac:dyDescent="0.35">
      <c r="A50" s="193"/>
    </row>
    <row r="52" spans="1:4" x14ac:dyDescent="0.35">
      <c r="B52" s="193"/>
      <c r="C52" s="193"/>
      <c r="D52" s="193"/>
    </row>
  </sheetData>
  <mergeCells count="3">
    <mergeCell ref="N3:O3"/>
    <mergeCell ref="N8:O8"/>
    <mergeCell ref="N14:O1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BDA6F-CEEC-4C73-827C-0B1AFD975130}">
  <dimension ref="B2:R55"/>
  <sheetViews>
    <sheetView showGridLines="0" workbookViewId="0">
      <selection activeCell="I47" sqref="I47"/>
    </sheetView>
  </sheetViews>
  <sheetFormatPr defaultRowHeight="14.5" x14ac:dyDescent="0.35"/>
  <cols>
    <col min="1" max="1" width="4.54296875" customWidth="1"/>
    <col min="3" max="3" width="10.26953125" customWidth="1"/>
    <col min="4" max="4" width="10.1796875" customWidth="1"/>
    <col min="5" max="5" width="12.81640625" customWidth="1"/>
    <col min="7" max="7" width="15.453125" customWidth="1"/>
    <col min="8" max="8" width="4.1796875" style="184" customWidth="1"/>
    <col min="11" max="11" width="11.453125" customWidth="1"/>
    <col min="12" max="12" width="11" customWidth="1"/>
    <col min="14" max="14" width="4" style="184" customWidth="1"/>
    <col min="15" max="15" width="11" customWidth="1"/>
    <col min="16" max="16" width="15" customWidth="1"/>
    <col min="17" max="17" width="12" customWidth="1"/>
    <col min="18" max="18" width="13.26953125" customWidth="1"/>
  </cols>
  <sheetData>
    <row r="2" spans="2:18" x14ac:dyDescent="0.35">
      <c r="B2" s="188" t="s">
        <v>332</v>
      </c>
    </row>
    <row r="3" spans="2:18" x14ac:dyDescent="0.35">
      <c r="B3" s="82" t="s">
        <v>333</v>
      </c>
    </row>
    <row r="4" spans="2:18" ht="15" thickBot="1" x14ac:dyDescent="0.4">
      <c r="B4" s="188"/>
    </row>
    <row r="5" spans="2:18" ht="15" thickBot="1" x14ac:dyDescent="0.4">
      <c r="B5" s="359" t="s">
        <v>331</v>
      </c>
      <c r="C5" s="360"/>
      <c r="D5" s="360"/>
      <c r="E5" s="360"/>
      <c r="F5" s="360"/>
      <c r="G5" s="361"/>
      <c r="I5" s="362" t="s">
        <v>105</v>
      </c>
      <c r="J5" s="363"/>
      <c r="K5" s="363"/>
      <c r="L5" s="293" t="s">
        <v>84</v>
      </c>
      <c r="M5" s="28" t="s">
        <v>15</v>
      </c>
      <c r="O5" s="35" t="s">
        <v>83</v>
      </c>
      <c r="P5" s="295" t="s">
        <v>329</v>
      </c>
      <c r="Q5" s="308" t="s">
        <v>108</v>
      </c>
      <c r="R5" s="297" t="s">
        <v>109</v>
      </c>
    </row>
    <row r="6" spans="2:18" ht="15" thickBot="1" x14ac:dyDescent="0.4">
      <c r="B6" s="303" t="s">
        <v>83</v>
      </c>
      <c r="C6" s="302" t="s">
        <v>84</v>
      </c>
      <c r="D6" s="302" t="s">
        <v>15</v>
      </c>
      <c r="E6" s="302" t="s">
        <v>90</v>
      </c>
      <c r="F6" s="302" t="s">
        <v>96</v>
      </c>
      <c r="G6" s="304" t="s">
        <v>132</v>
      </c>
      <c r="I6" s="353" t="s">
        <v>106</v>
      </c>
      <c r="J6" s="354"/>
      <c r="K6" s="364"/>
      <c r="L6" s="306" cm="1">
        <f t="array" ref="L6">GUM_EVAL(MeasuredValues,__GUM_MODEL)</f>
        <v>57.487990525794842</v>
      </c>
      <c r="M6" s="311" t="s">
        <v>97</v>
      </c>
      <c r="O6" s="290" t="str" cm="1">
        <f t="array" ref="O6:O13">MeasurandNames</f>
        <v>Δ</v>
      </c>
      <c r="P6" s="307" cm="1">
        <f t="array" ref="P6:P13">IF(MeasurandUncertainty, MeasurandUncertainty/MeasurandCoverageFactor, 0)</f>
        <v>1.8060000000000001E-3</v>
      </c>
      <c r="Q6" s="29" cm="1">
        <f t="array" ref="Q6:Q13">GUM_DFDX(MeasuredValues,MeasurandUncertainty,__GUM_MODEL)</f>
        <v>99.460191222635757</v>
      </c>
      <c r="R6" s="310" cm="1">
        <f t="array" ref="R6:R13">(GUMSensitivities*_xlfn.ANCHORARRAY(GUMStdUncerts))^2/GUMVariance</f>
        <v>0.2726853241170894</v>
      </c>
    </row>
    <row r="7" spans="2:18" x14ac:dyDescent="0.35">
      <c r="B7" s="22" t="s">
        <v>93</v>
      </c>
      <c r="C7" s="42">
        <v>0.28899999999999998</v>
      </c>
      <c r="D7" s="39" t="s">
        <v>92</v>
      </c>
      <c r="E7" s="23">
        <v>3.6120000000000002E-3</v>
      </c>
      <c r="F7" s="39">
        <v>2</v>
      </c>
      <c r="G7" s="55">
        <v>1000000</v>
      </c>
      <c r="I7" s="355" t="s">
        <v>98</v>
      </c>
      <c r="J7" s="356"/>
      <c r="K7" s="356"/>
      <c r="L7" s="305">
        <f>SQRT(GUMVariance)</f>
        <v>0.34398234543741751</v>
      </c>
      <c r="M7" s="30" t="str">
        <f>$M$6</f>
        <v>m/s</v>
      </c>
      <c r="O7" s="290" t="str">
        <v>T</v>
      </c>
      <c r="P7" s="300">
        <v>5.6000000000000001E-2</v>
      </c>
      <c r="Q7" s="309">
        <v>9.8169382718132123E-2</v>
      </c>
      <c r="R7" s="298">
        <v>2.5542056874188862E-4</v>
      </c>
    </row>
    <row r="8" spans="2:18" x14ac:dyDescent="0.35">
      <c r="B8" s="22" t="s">
        <v>86</v>
      </c>
      <c r="C8" s="23">
        <v>292.8</v>
      </c>
      <c r="D8" s="39" t="s">
        <v>91</v>
      </c>
      <c r="E8" s="23">
        <v>0.112</v>
      </c>
      <c r="F8" s="39">
        <v>2</v>
      </c>
      <c r="G8" s="55">
        <v>1000000</v>
      </c>
      <c r="I8" s="290"/>
      <c r="J8" s="291"/>
      <c r="K8" s="291" t="s">
        <v>330</v>
      </c>
      <c r="L8" s="29" cm="1">
        <f t="array" ref="L8">GUM_VARIANCE(_xlfn.ANCHORARRAY(GUMStdUncerts),GUMSensitivities)</f>
        <v>0.11832385397262685</v>
      </c>
      <c r="M8" s="30"/>
      <c r="O8" s="290" t="str">
        <v>Rs</v>
      </c>
      <c r="P8" s="300">
        <v>0</v>
      </c>
      <c r="Q8" s="29">
        <v>0</v>
      </c>
      <c r="R8" s="298">
        <v>0</v>
      </c>
    </row>
    <row r="9" spans="2:18" x14ac:dyDescent="0.35">
      <c r="B9" s="22" t="s">
        <v>87</v>
      </c>
      <c r="C9" s="23">
        <v>287.06</v>
      </c>
      <c r="D9" s="39" t="s">
        <v>94</v>
      </c>
      <c r="E9" s="23">
        <v>0</v>
      </c>
      <c r="F9" s="39">
        <v>2</v>
      </c>
      <c r="G9" s="55">
        <v>1000000</v>
      </c>
      <c r="I9" s="355" t="s">
        <v>99</v>
      </c>
      <c r="J9" s="356"/>
      <c r="K9" s="356"/>
      <c r="L9" s="31" cm="1">
        <f t="array" ref="L9">GUM_DEGF(GUMVariance,_xlfn.ANCHORARRAY(GUMStdUncerts),GUMSensitivities,MeasurandDegf)</f>
        <v>1658450.3939303181</v>
      </c>
      <c r="M9" s="30"/>
      <c r="O9" s="290" t="str">
        <v>p</v>
      </c>
      <c r="P9" s="300">
        <v>0.15</v>
      </c>
      <c r="Q9" s="29">
        <v>-1.9553738279161812</v>
      </c>
      <c r="R9" s="298">
        <v>0.72705925531416871</v>
      </c>
    </row>
    <row r="10" spans="2:18" x14ac:dyDescent="0.35">
      <c r="B10" s="22" t="s">
        <v>88</v>
      </c>
      <c r="C10" s="23">
        <v>14.7</v>
      </c>
      <c r="D10" s="39" t="s">
        <v>92</v>
      </c>
      <c r="E10" s="23">
        <v>0.3</v>
      </c>
      <c r="F10" s="39">
        <v>2</v>
      </c>
      <c r="G10" s="55">
        <v>1000000</v>
      </c>
      <c r="I10" s="355" t="s">
        <v>100</v>
      </c>
      <c r="J10" s="356"/>
      <c r="K10" s="356"/>
      <c r="L10" s="312">
        <v>0.95</v>
      </c>
      <c r="M10" s="30"/>
      <c r="O10" s="290" t="str">
        <v>-</v>
      </c>
      <c r="P10" s="300">
        <v>0</v>
      </c>
      <c r="Q10" s="29">
        <v>0</v>
      </c>
      <c r="R10" s="298">
        <v>0</v>
      </c>
    </row>
    <row r="11" spans="2:18" x14ac:dyDescent="0.35">
      <c r="B11" s="22" t="s">
        <v>89</v>
      </c>
      <c r="C11" s="23"/>
      <c r="D11" s="23"/>
      <c r="E11" s="23"/>
      <c r="F11" s="23"/>
      <c r="G11" s="24"/>
      <c r="I11" s="355" t="s">
        <v>101</v>
      </c>
      <c r="J11" s="356"/>
      <c r="K11" s="356"/>
      <c r="L11" s="32">
        <f>_xlfn.T.INV.2T(1-L10,L9)</f>
        <v>1.9599654149481045</v>
      </c>
      <c r="M11" s="30"/>
      <c r="O11" s="290" t="str">
        <v>-</v>
      </c>
      <c r="P11" s="300">
        <v>0</v>
      </c>
      <c r="Q11" s="29">
        <v>0</v>
      </c>
      <c r="R11" s="298">
        <v>0</v>
      </c>
    </row>
    <row r="12" spans="2:18" x14ac:dyDescent="0.35">
      <c r="B12" s="22" t="s">
        <v>89</v>
      </c>
      <c r="C12" s="23"/>
      <c r="D12" s="23"/>
      <c r="E12" s="23"/>
      <c r="F12" s="23"/>
      <c r="G12" s="24"/>
      <c r="I12" s="353" t="s">
        <v>102</v>
      </c>
      <c r="J12" s="354"/>
      <c r="K12" s="354"/>
      <c r="L12" s="40">
        <f>L8*L11</f>
        <v>0.23191066154971851</v>
      </c>
      <c r="M12" s="30" t="str">
        <f>$M$6</f>
        <v>m/s</v>
      </c>
      <c r="O12" s="290" t="str">
        <v>-</v>
      </c>
      <c r="P12" s="300">
        <v>0</v>
      </c>
      <c r="Q12" s="29">
        <v>0</v>
      </c>
      <c r="R12" s="298">
        <v>0</v>
      </c>
    </row>
    <row r="13" spans="2:18" ht="15" thickBot="1" x14ac:dyDescent="0.4">
      <c r="B13" s="22" t="s">
        <v>89</v>
      </c>
      <c r="C13" s="23"/>
      <c r="D13" s="23"/>
      <c r="E13" s="23"/>
      <c r="F13" s="23"/>
      <c r="G13" s="24"/>
      <c r="I13" s="355" t="s">
        <v>103</v>
      </c>
      <c r="J13" s="356"/>
      <c r="K13" s="356"/>
      <c r="L13" s="29">
        <f>L6-L12</f>
        <v>57.256079864245123</v>
      </c>
      <c r="M13" s="30" t="str">
        <f>$M$6</f>
        <v>m/s</v>
      </c>
      <c r="O13" s="292" t="str">
        <v>-</v>
      </c>
      <c r="P13" s="301">
        <v>0</v>
      </c>
      <c r="Q13" s="33">
        <v>0</v>
      </c>
      <c r="R13" s="299">
        <v>0</v>
      </c>
    </row>
    <row r="14" spans="2:18" ht="15" thickBot="1" x14ac:dyDescent="0.4">
      <c r="B14" s="25" t="s">
        <v>89</v>
      </c>
      <c r="C14" s="26"/>
      <c r="D14" s="26"/>
      <c r="E14" s="26"/>
      <c r="F14" s="26"/>
      <c r="G14" s="27"/>
      <c r="I14" s="357" t="s">
        <v>104</v>
      </c>
      <c r="J14" s="358"/>
      <c r="K14" s="358"/>
      <c r="L14" s="33">
        <f>L6+L12</f>
        <v>57.719901187344561</v>
      </c>
      <c r="M14" s="34" t="str">
        <f>$M$6</f>
        <v>m/s</v>
      </c>
    </row>
    <row r="15" spans="2:18" x14ac:dyDescent="0.35">
      <c r="B15" s="3" t="s">
        <v>107</v>
      </c>
      <c r="C15" s="2"/>
      <c r="D15" s="2"/>
      <c r="E15" s="2"/>
      <c r="F15" s="2"/>
      <c r="G15" s="2"/>
    </row>
    <row r="30" spans="2:2" s="317" customFormat="1" x14ac:dyDescent="0.35"/>
    <row r="31" spans="2:2" x14ac:dyDescent="0.35">
      <c r="B31" s="188" t="s">
        <v>353</v>
      </c>
    </row>
    <row r="33" spans="2:9" x14ac:dyDescent="0.35">
      <c r="B33" s="84" t="s">
        <v>335</v>
      </c>
      <c r="G33" t="s">
        <v>336</v>
      </c>
    </row>
    <row r="34" spans="2:9" x14ac:dyDescent="0.35">
      <c r="B34" s="313" t="s">
        <v>334</v>
      </c>
    </row>
    <row r="35" spans="2:9" x14ac:dyDescent="0.35">
      <c r="B35" s="303" t="s">
        <v>83</v>
      </c>
      <c r="C35" s="302" t="s">
        <v>84</v>
      </c>
      <c r="D35" s="302" t="s">
        <v>15</v>
      </c>
      <c r="E35" s="302" t="s">
        <v>90</v>
      </c>
      <c r="F35" s="302" t="s">
        <v>96</v>
      </c>
      <c r="G35" s="304" t="s">
        <v>132</v>
      </c>
    </row>
    <row r="36" spans="2:9" x14ac:dyDescent="0.35">
      <c r="B36" s="22" t="s">
        <v>93</v>
      </c>
      <c r="C36" s="42">
        <v>0.28899999999999998</v>
      </c>
      <c r="D36" s="39" t="s">
        <v>92</v>
      </c>
      <c r="E36" s="23">
        <v>3.6120000000000002E-3</v>
      </c>
      <c r="F36" s="39">
        <v>2</v>
      </c>
      <c r="G36" s="55">
        <v>1000000</v>
      </c>
      <c r="I36" t="s">
        <v>337</v>
      </c>
    </row>
    <row r="37" spans="2:9" x14ac:dyDescent="0.35">
      <c r="B37" s="22" t="s">
        <v>86</v>
      </c>
      <c r="C37" s="23">
        <v>292.8</v>
      </c>
      <c r="D37" s="39" t="s">
        <v>91</v>
      </c>
      <c r="E37" s="23">
        <v>0.112</v>
      </c>
      <c r="F37" s="39">
        <v>2</v>
      </c>
      <c r="G37" s="55">
        <v>1000000</v>
      </c>
      <c r="I37" t="s">
        <v>338</v>
      </c>
    </row>
    <row r="38" spans="2:9" x14ac:dyDescent="0.35">
      <c r="B38" s="22" t="s">
        <v>87</v>
      </c>
      <c r="C38" s="23">
        <v>287.06</v>
      </c>
      <c r="D38" s="39" t="s">
        <v>94</v>
      </c>
      <c r="E38" s="23">
        <v>0</v>
      </c>
      <c r="F38" s="39">
        <v>2</v>
      </c>
      <c r="G38" s="55">
        <v>1000000</v>
      </c>
      <c r="I38" t="s">
        <v>339</v>
      </c>
    </row>
    <row r="39" spans="2:9" x14ac:dyDescent="0.35">
      <c r="B39" s="22" t="s">
        <v>88</v>
      </c>
      <c r="C39" s="23">
        <v>14.7</v>
      </c>
      <c r="D39" s="39" t="s">
        <v>92</v>
      </c>
      <c r="E39" s="23">
        <v>0.3</v>
      </c>
      <c r="F39" s="39">
        <v>2</v>
      </c>
      <c r="G39" s="55">
        <v>1000000</v>
      </c>
      <c r="I39" t="s">
        <v>340</v>
      </c>
    </row>
    <row r="40" spans="2:9" x14ac:dyDescent="0.35">
      <c r="B40" s="22" t="s">
        <v>89</v>
      </c>
      <c r="C40" s="23"/>
      <c r="D40" s="23"/>
      <c r="E40" s="23"/>
      <c r="F40" s="23"/>
      <c r="G40" s="24"/>
    </row>
    <row r="41" spans="2:9" x14ac:dyDescent="0.35">
      <c r="B41" s="22" t="s">
        <v>89</v>
      </c>
      <c r="C41" s="23"/>
      <c r="D41" s="23"/>
      <c r="E41" s="23"/>
      <c r="F41" s="23"/>
      <c r="G41" s="24"/>
    </row>
    <row r="42" spans="2:9" x14ac:dyDescent="0.35">
      <c r="B42" s="22" t="s">
        <v>89</v>
      </c>
      <c r="C42" s="23"/>
      <c r="D42" s="23"/>
      <c r="E42" s="23"/>
      <c r="F42" s="23"/>
      <c r="G42" s="24"/>
    </row>
    <row r="43" spans="2:9" ht="15" thickBot="1" x14ac:dyDescent="0.4">
      <c r="B43" s="25" t="s">
        <v>89</v>
      </c>
      <c r="C43" s="26"/>
      <c r="D43" s="26"/>
      <c r="E43" s="26"/>
      <c r="F43" s="26"/>
      <c r="G43" s="27"/>
    </row>
    <row r="45" spans="2:9" x14ac:dyDescent="0.35">
      <c r="B45" s="84" t="s">
        <v>341</v>
      </c>
      <c r="G45" t="s">
        <v>342</v>
      </c>
      <c r="H45"/>
    </row>
    <row r="46" spans="2:9" x14ac:dyDescent="0.35">
      <c r="B46" s="313" t="s">
        <v>343</v>
      </c>
      <c r="H46"/>
    </row>
    <row r="47" spans="2:9" x14ac:dyDescent="0.35">
      <c r="B47" s="303" t="s">
        <v>83</v>
      </c>
      <c r="C47" s="302" t="s">
        <v>84</v>
      </c>
      <c r="D47" s="302" t="s">
        <v>15</v>
      </c>
      <c r="E47" s="302" t="s">
        <v>90</v>
      </c>
      <c r="F47" s="302" t="s">
        <v>96</v>
      </c>
      <c r="G47" s="304" t="s">
        <v>132</v>
      </c>
    </row>
    <row r="48" spans="2:9" x14ac:dyDescent="0.35">
      <c r="B48" s="22" t="s">
        <v>344</v>
      </c>
      <c r="C48" s="20">
        <v>4.63</v>
      </c>
      <c r="D48" s="314" t="s">
        <v>345</v>
      </c>
      <c r="E48" s="20">
        <v>4.6300000000000001E-2</v>
      </c>
      <c r="F48" s="20">
        <v>1</v>
      </c>
      <c r="G48" s="52">
        <v>1000000</v>
      </c>
      <c r="I48" t="s">
        <v>354</v>
      </c>
    </row>
    <row r="49" spans="2:9" x14ac:dyDescent="0.35">
      <c r="B49" s="22" t="s">
        <v>346</v>
      </c>
      <c r="C49" s="20">
        <v>2217</v>
      </c>
      <c r="D49" s="314" t="s">
        <v>347</v>
      </c>
      <c r="E49" s="20">
        <v>0.5</v>
      </c>
      <c r="F49" s="20">
        <v>1</v>
      </c>
      <c r="G49" s="52">
        <v>1000000</v>
      </c>
      <c r="I49" t="s">
        <v>355</v>
      </c>
    </row>
    <row r="50" spans="2:9" x14ac:dyDescent="0.35">
      <c r="B50" s="22" t="s">
        <v>348</v>
      </c>
      <c r="C50" s="20">
        <v>810</v>
      </c>
      <c r="D50" s="314" t="s">
        <v>347</v>
      </c>
      <c r="E50" s="20">
        <v>0.5</v>
      </c>
      <c r="F50" s="20">
        <v>1</v>
      </c>
      <c r="G50" s="52">
        <v>1000000</v>
      </c>
      <c r="I50" t="s">
        <v>356</v>
      </c>
    </row>
    <row r="51" spans="2:9" x14ac:dyDescent="0.35">
      <c r="B51" s="22" t="s">
        <v>349</v>
      </c>
      <c r="C51" s="20">
        <v>1180</v>
      </c>
      <c r="D51" s="314" t="s">
        <v>347</v>
      </c>
      <c r="E51" s="20">
        <v>0.5</v>
      </c>
      <c r="F51" s="20">
        <v>1</v>
      </c>
      <c r="G51" s="52">
        <v>1000000</v>
      </c>
      <c r="I51" t="s">
        <v>357</v>
      </c>
    </row>
    <row r="52" spans="2:9" x14ac:dyDescent="0.35">
      <c r="B52" s="22" t="s">
        <v>350</v>
      </c>
      <c r="C52" s="20">
        <v>36.6</v>
      </c>
      <c r="D52" s="314" t="s">
        <v>351</v>
      </c>
      <c r="E52" s="20">
        <v>5.49</v>
      </c>
      <c r="F52" s="20">
        <v>1</v>
      </c>
      <c r="G52" s="52">
        <v>1000000</v>
      </c>
      <c r="I52" t="s">
        <v>358</v>
      </c>
    </row>
    <row r="53" spans="2:9" x14ac:dyDescent="0.35">
      <c r="B53" s="22" t="s">
        <v>352</v>
      </c>
      <c r="C53" s="20">
        <v>61</v>
      </c>
      <c r="D53" s="314" t="s">
        <v>351</v>
      </c>
      <c r="E53" s="20">
        <v>6.1</v>
      </c>
      <c r="F53" s="20">
        <v>1</v>
      </c>
      <c r="G53" s="52">
        <v>1000000</v>
      </c>
      <c r="I53" t="s">
        <v>359</v>
      </c>
    </row>
    <row r="54" spans="2:9" x14ac:dyDescent="0.35">
      <c r="B54" s="22"/>
      <c r="C54" s="20"/>
      <c r="D54" s="314"/>
      <c r="E54" s="314"/>
      <c r="F54" s="20"/>
      <c r="G54" s="52"/>
    </row>
    <row r="55" spans="2:9" ht="15" thickBot="1" x14ac:dyDescent="0.4">
      <c r="B55" s="25"/>
      <c r="C55" s="26"/>
      <c r="D55" s="315"/>
      <c r="E55" s="315"/>
      <c r="F55" s="26"/>
      <c r="G55" s="316"/>
    </row>
  </sheetData>
  <mergeCells count="10">
    <mergeCell ref="I12:K12"/>
    <mergeCell ref="I13:K13"/>
    <mergeCell ref="I14:K14"/>
    <mergeCell ref="B5:G5"/>
    <mergeCell ref="I5:K5"/>
    <mergeCell ref="I6:K6"/>
    <mergeCell ref="I7:K7"/>
    <mergeCell ref="I9:K9"/>
    <mergeCell ref="I10:K10"/>
    <mergeCell ref="I11:K11"/>
  </mergeCells>
  <conditionalFormatting sqref="R6:R13">
    <cfRule type="dataBar" priority="1">
      <dataBar>
        <cfvo type="num" val="0"/>
        <cfvo type="num" val="1"/>
        <color rgb="FFFFB628"/>
      </dataBar>
      <extLst>
        <ext xmlns:x14="http://schemas.microsoft.com/office/spreadsheetml/2009/9/main" uri="{B025F937-C7B1-47D3-B67F-A62EFF666E3E}">
          <x14:id>{1100A29D-B0C8-4D37-9AE8-0D8130213A03}</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1100A29D-B0C8-4D37-9AE8-0D8130213A03}">
            <x14:dataBar minLength="0" maxLength="100" border="1" negativeBarBorderColorSameAsPositive="0">
              <x14:cfvo type="num">
                <xm:f>0</xm:f>
              </x14:cfvo>
              <x14:cfvo type="num">
                <xm:f>1</xm:f>
              </x14:cfvo>
              <x14:borderColor rgb="FFFFB628"/>
              <x14:negativeFillColor rgb="FFFF0000"/>
              <x14:negativeBorderColor rgb="FFFF0000"/>
              <x14:axisColor rgb="FF000000"/>
            </x14:dataBar>
          </x14:cfRule>
          <xm:sqref>R6:R13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ECB6C-C78C-4CE4-A345-FD1297B9637A}">
  <dimension ref="B2:J29"/>
  <sheetViews>
    <sheetView showGridLines="0" workbookViewId="0">
      <selection activeCell="B2" sqref="B2:J22"/>
    </sheetView>
  </sheetViews>
  <sheetFormatPr defaultRowHeight="14.5" x14ac:dyDescent="0.35"/>
  <cols>
    <col min="1" max="1" width="5" customWidth="1"/>
    <col min="2" max="3" width="11.81640625" customWidth="1"/>
    <col min="4" max="4" width="11" style="122" customWidth="1"/>
    <col min="5" max="5" width="16.453125" style="122" customWidth="1"/>
    <col min="6" max="6" width="13.26953125" style="122" customWidth="1"/>
    <col min="7" max="7" width="13.7265625" style="122" customWidth="1"/>
    <col min="9" max="9" width="23" customWidth="1"/>
    <col min="10" max="10" width="9.453125" customWidth="1"/>
  </cols>
  <sheetData>
    <row r="2" spans="2:10" x14ac:dyDescent="0.35">
      <c r="B2" t="s">
        <v>309</v>
      </c>
    </row>
    <row r="3" spans="2:10" x14ac:dyDescent="0.35">
      <c r="B3" t="s">
        <v>306</v>
      </c>
    </row>
    <row r="4" spans="2:10" ht="15" thickBot="1" x14ac:dyDescent="0.4"/>
    <row r="5" spans="2:10" x14ac:dyDescent="0.35">
      <c r="B5" t="s">
        <v>304</v>
      </c>
      <c r="C5" t="s">
        <v>305</v>
      </c>
      <c r="D5" s="122" t="s">
        <v>290</v>
      </c>
      <c r="E5" s="122" t="s">
        <v>291</v>
      </c>
      <c r="F5" s="122" t="s">
        <v>292</v>
      </c>
      <c r="G5" s="122" t="s">
        <v>307</v>
      </c>
      <c r="I5" s="359" t="s">
        <v>308</v>
      </c>
      <c r="J5" s="361"/>
    </row>
    <row r="6" spans="2:10" x14ac:dyDescent="0.35">
      <c r="B6" s="259"/>
      <c r="C6" s="259"/>
      <c r="D6" s="257">
        <v>40179</v>
      </c>
      <c r="E6" s="257">
        <v>40544</v>
      </c>
      <c r="F6" s="122">
        <f>IntervalHistory[[#This Row],[End Date]]-IntervalHistory[[#This Row],[Start Date]]</f>
        <v>365</v>
      </c>
      <c r="G6" s="122">
        <v>1</v>
      </c>
      <c r="I6" s="50" t="s">
        <v>296</v>
      </c>
      <c r="J6" s="24">
        <v>365</v>
      </c>
    </row>
    <row r="7" spans="2:10" x14ac:dyDescent="0.35">
      <c r="B7" s="259"/>
      <c r="C7" s="259"/>
      <c r="D7" s="257">
        <v>40544</v>
      </c>
      <c r="E7" s="257">
        <v>40909</v>
      </c>
      <c r="F7" s="122">
        <f>IntervalHistory[[#This Row],[End Date]]-IntervalHistory[[#This Row],[Start Date]]</f>
        <v>365</v>
      </c>
      <c r="G7" s="122">
        <v>1</v>
      </c>
      <c r="I7" s="50" t="s">
        <v>295</v>
      </c>
      <c r="J7" s="24">
        <v>30</v>
      </c>
    </row>
    <row r="8" spans="2:10" x14ac:dyDescent="0.35">
      <c r="B8" s="259"/>
      <c r="C8" s="259"/>
      <c r="D8" s="257">
        <v>40909</v>
      </c>
      <c r="E8" s="257">
        <v>41275</v>
      </c>
      <c r="F8" s="122">
        <f>IntervalHistory[[#This Row],[End Date]]-IntervalHistory[[#This Row],[Start Date]]</f>
        <v>366</v>
      </c>
      <c r="G8" s="122">
        <v>1</v>
      </c>
      <c r="I8" s="50" t="s">
        <v>302</v>
      </c>
      <c r="J8" s="261">
        <v>0.95</v>
      </c>
    </row>
    <row r="9" spans="2:10" x14ac:dyDescent="0.35">
      <c r="B9" s="259"/>
      <c r="C9" s="259"/>
      <c r="D9" s="257">
        <v>41275</v>
      </c>
      <c r="E9" s="257">
        <v>41643</v>
      </c>
      <c r="F9" s="122">
        <f>IntervalHistory[[#This Row],[End Date]]-IntervalHistory[[#This Row],[Start Date]]</f>
        <v>368</v>
      </c>
      <c r="G9" s="122">
        <v>1</v>
      </c>
      <c r="I9" s="50" t="s">
        <v>301</v>
      </c>
      <c r="J9" s="262">
        <v>0.5</v>
      </c>
    </row>
    <row r="10" spans="2:10" ht="15" thickBot="1" x14ac:dyDescent="0.4">
      <c r="B10" s="259"/>
      <c r="C10" s="259"/>
      <c r="D10" s="257">
        <v>41640</v>
      </c>
      <c r="E10" s="257">
        <v>42370</v>
      </c>
      <c r="F10" s="122">
        <f>IntervalHistory[[#This Row],[End Date]]-IntervalHistory[[#This Row],[Start Date]]</f>
        <v>730</v>
      </c>
      <c r="G10" s="122">
        <v>1</v>
      </c>
      <c r="I10" s="53" t="s">
        <v>303</v>
      </c>
      <c r="J10" s="27">
        <v>2</v>
      </c>
    </row>
    <row r="11" spans="2:10" x14ac:dyDescent="0.35">
      <c r="B11" s="259"/>
      <c r="C11" s="259"/>
      <c r="D11" s="257">
        <v>42370</v>
      </c>
      <c r="E11" s="257">
        <v>43101</v>
      </c>
      <c r="F11" s="122">
        <f>IntervalHistory[[#This Row],[End Date]]-IntervalHistory[[#This Row],[Start Date]]</f>
        <v>731</v>
      </c>
      <c r="G11" s="122">
        <v>1</v>
      </c>
    </row>
    <row r="12" spans="2:10" ht="15" thickBot="1" x14ac:dyDescent="0.4">
      <c r="B12" s="259"/>
      <c r="C12" s="259"/>
      <c r="D12" s="257"/>
      <c r="E12" s="257"/>
      <c r="F12" s="122">
        <f>IntervalHistory[[#This Row],[End Date]]-IntervalHistory[[#This Row],[Start Date]]</f>
        <v>0</v>
      </c>
      <c r="G12" s="122">
        <v>1</v>
      </c>
    </row>
    <row r="13" spans="2:10" x14ac:dyDescent="0.35">
      <c r="B13" s="259"/>
      <c r="C13" s="259"/>
      <c r="D13" s="257"/>
      <c r="E13" s="257"/>
      <c r="F13" s="122">
        <f>IntervalHistory[[#This Row],[End Date]]-IntervalHistory[[#This Row],[Start Date]]</f>
        <v>0</v>
      </c>
      <c r="G13" s="122">
        <v>1</v>
      </c>
      <c r="I13" s="263" t="s">
        <v>293</v>
      </c>
      <c r="J13" s="264" cm="1">
        <f t="array" ref="J13">COUNT(_xlfn._xlws.FILTER(IntervalHistory[Interval Length],ABS(IntervalHistory[Interval Length]-J6)&lt;=J7))</f>
        <v>4</v>
      </c>
    </row>
    <row r="14" spans="2:10" x14ac:dyDescent="0.35">
      <c r="B14" s="259"/>
      <c r="C14" s="259"/>
      <c r="D14" s="257"/>
      <c r="E14" s="257"/>
      <c r="F14" s="122">
        <f>IntervalHistory[[#This Row],[End Date]]-IntervalHistory[[#This Row],[Start Date]]</f>
        <v>0</v>
      </c>
      <c r="G14" s="122">
        <v>1</v>
      </c>
      <c r="I14" s="265" t="s">
        <v>294</v>
      </c>
      <c r="J14" s="41" cm="1">
        <f t="array" ref="J14">COUNTA(_xlfn._xlws.FILTER(IntervalHistory[IT(1)/OOT(0)], (ABS(IntervalHistory[Interval Length]-J6)&lt;=J7)*(IntervalHistory[IT(1)/OOT(0)]=1)))</f>
        <v>4</v>
      </c>
    </row>
    <row r="15" spans="2:10" x14ac:dyDescent="0.35">
      <c r="B15" s="259"/>
      <c r="C15" s="259"/>
      <c r="D15" s="257"/>
      <c r="E15" s="257"/>
      <c r="F15" s="122">
        <f>IntervalHistory[[#This Row],[End Date]]-IntervalHistory[[#This Row],[Start Date]]</f>
        <v>0</v>
      </c>
      <c r="G15" s="122">
        <v>1</v>
      </c>
      <c r="I15" s="265" t="s">
        <v>266</v>
      </c>
      <c r="J15" s="266">
        <f>NumPass/NumCals</f>
        <v>1</v>
      </c>
    </row>
    <row r="16" spans="2:10" x14ac:dyDescent="0.35">
      <c r="B16" s="259"/>
      <c r="C16" s="259"/>
      <c r="D16" s="257"/>
      <c r="E16" s="257"/>
      <c r="F16" s="122">
        <f>IntervalHistory[[#This Row],[End Date]]-IntervalHistory[[#This Row],[Start Date]]</f>
        <v>0</v>
      </c>
      <c r="G16" s="122">
        <v>1</v>
      </c>
      <c r="I16" s="265"/>
      <c r="J16" s="41"/>
    </row>
    <row r="17" spans="2:10" x14ac:dyDescent="0.35">
      <c r="B17" s="259"/>
      <c r="C17" s="259"/>
      <c r="D17" s="257"/>
      <c r="E17" s="257"/>
      <c r="F17" s="122">
        <f>IntervalHistory[[#This Row],[End Date]]-IntervalHistory[[#This Row],[Start Date]]</f>
        <v>0</v>
      </c>
      <c r="G17" s="122">
        <v>1</v>
      </c>
      <c r="I17" s="265" t="s">
        <v>297</v>
      </c>
      <c r="J17" s="266">
        <f>IF(NumPass=0,0,IF(NumPass=NumCals,(1-ChangeConfidence)^(1/NumCals),1-_xlfn.BETA.INV((1+ChangeConfidence)/2,NumCals-NumPass+1,NumPass)))</f>
        <v>0.8408964152537145</v>
      </c>
    </row>
    <row r="18" spans="2:10" x14ac:dyDescent="0.35">
      <c r="B18" s="259"/>
      <c r="C18" s="259"/>
      <c r="D18" s="257"/>
      <c r="E18" s="257"/>
      <c r="F18" s="122">
        <f>IntervalHistory[[#This Row],[End Date]]-IntervalHistory[[#This Row],[Start Date]]</f>
        <v>0</v>
      </c>
      <c r="G18" s="122">
        <v>1</v>
      </c>
      <c r="I18" s="265" t="s">
        <v>298</v>
      </c>
      <c r="J18" s="266">
        <f>IF(NumPass=0,1-(1-ChangeConfidence)^(1/NumCals),IF(NumPass=NumCals,1,1-_xlfn.BETA.INV((1-ChangeConfidence)/2,NumCals-NumPass,NumPass+1)))</f>
        <v>1</v>
      </c>
    </row>
    <row r="19" spans="2:10" x14ac:dyDescent="0.35">
      <c r="B19" s="259"/>
      <c r="C19" s="259"/>
      <c r="D19" s="257"/>
      <c r="E19" s="257"/>
      <c r="F19" s="122">
        <f>IntervalHistory[[#This Row],[End Date]]-IntervalHistory[[#This Row],[Start Date]]</f>
        <v>0</v>
      </c>
      <c r="G19" s="122">
        <v>1</v>
      </c>
      <c r="I19" s="265" t="s">
        <v>299</v>
      </c>
      <c r="J19" s="266">
        <f>IF(OR(NumPass=0,NumPass=NumCals),1-_xlfn.BINOM.DIST(NumPass,NumCals,ReliabilityTarget,FALSE),MAX(0,IF(ReliabilityObs&gt;ReliabilityTarget,2*_xlfn.BINOM.DIST(NumPass-1,NumCals,ReliabilityTarget,TRUE)-1,1-2*_xlfn.BINOM.DIST(NumPass,NumCals,ReliabilityTarget,TRUE))))</f>
        <v>0.18549375000000012</v>
      </c>
    </row>
    <row r="20" spans="2:10" x14ac:dyDescent="0.35">
      <c r="B20" s="259"/>
      <c r="C20" s="259"/>
      <c r="D20" s="257"/>
      <c r="E20" s="257"/>
      <c r="F20" s="122">
        <f>IntervalHistory[[#This Row],[End Date]]-IntervalHistory[[#This Row],[Start Date]]</f>
        <v>0</v>
      </c>
      <c r="G20" s="122">
        <v>1</v>
      </c>
      <c r="I20" s="265"/>
      <c r="J20" s="41"/>
    </row>
    <row r="21" spans="2:10" ht="15" thickBot="1" x14ac:dyDescent="0.4">
      <c r="B21" s="259"/>
      <c r="C21" s="259"/>
      <c r="D21" s="257"/>
      <c r="E21" s="257"/>
      <c r="F21" s="122">
        <f>IntervalHistory[[#This Row],[End Date]]-IntervalHistory[[#This Row],[Start Date]]</f>
        <v>0</v>
      </c>
      <c r="G21" s="122">
        <v>1</v>
      </c>
      <c r="I21" s="140" t="s">
        <v>300</v>
      </c>
      <c r="J21" s="267">
        <f>IF(RejectionConfidence&gt;ChangeConfidence, TestInterval*MIN(MaxChange,MAX(1/MaxChange, IF(ReliabilityObs&gt;ReliabilityTarget,IF(RejectionConfidence&gt;=1,MaxChange,10^((ReliabilityObs-ReliabilityTarget)/(1-RejectionConfidence))),10^(RejectionConfidence*(ReliabilityObs-ReliabilityTarget))))),TestInterval)</f>
        <v>365</v>
      </c>
    </row>
    <row r="22" spans="2:10" x14ac:dyDescent="0.35">
      <c r="B22" s="259"/>
      <c r="C22" s="259"/>
      <c r="D22" s="257"/>
      <c r="E22" s="257"/>
      <c r="F22" s="122">
        <f>IntervalHistory[[#This Row],[End Date]]-IntervalHistory[[#This Row],[Start Date]]</f>
        <v>0</v>
      </c>
      <c r="G22" s="122">
        <v>1</v>
      </c>
    </row>
    <row r="29" spans="2:10" x14ac:dyDescent="0.35">
      <c r="I29" s="260"/>
    </row>
  </sheetData>
  <mergeCells count="1">
    <mergeCell ref="I5:J5"/>
  </mergeCells>
  <phoneticPr fontId="8" type="noConversion"/>
  <conditionalFormatting sqref="J21">
    <cfRule type="cellIs" dxfId="3" priority="1" operator="greaterThan">
      <formula>$J$6</formula>
    </cfRule>
    <cfRule type="cellIs" dxfId="2" priority="2" operator="equal">
      <formula>$J$6</formula>
    </cfRule>
    <cfRule type="cellIs" dxfId="1" priority="3" operator="lessThan">
      <formula>$J$6</formula>
    </cfRule>
    <cfRule type="cellIs" dxfId="0" priority="4" operator="greaterThan">
      <formula>$J$6</formula>
    </cfRule>
  </conditionalFormatting>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48C01-EE0E-49D3-90EE-9300DB54F432}">
  <dimension ref="B2:J28"/>
  <sheetViews>
    <sheetView showGridLines="0" workbookViewId="0">
      <selection activeCell="C4" sqref="C4"/>
    </sheetView>
  </sheetViews>
  <sheetFormatPr defaultRowHeight="14.5" x14ac:dyDescent="0.35"/>
  <cols>
    <col min="2" max="2" width="12.453125" customWidth="1"/>
    <col min="3" max="3" width="12" customWidth="1"/>
    <col min="4" max="4" width="10.1796875" hidden="1" customWidth="1"/>
    <col min="5" max="5" width="7.81640625" hidden="1" customWidth="1"/>
    <col min="6" max="6" width="9.26953125" hidden="1" customWidth="1"/>
    <col min="7" max="7" width="12" style="122" customWidth="1"/>
    <col min="8" max="8" width="8.453125" customWidth="1"/>
    <col min="9" max="9" width="19" customWidth="1"/>
    <col min="10" max="10" width="20" customWidth="1"/>
    <col min="11" max="11" width="9.54296875" customWidth="1"/>
  </cols>
  <sheetData>
    <row r="2" spans="2:10" ht="34.5" customHeight="1" thickBot="1" x14ac:dyDescent="0.4">
      <c r="B2" s="253" t="s">
        <v>310</v>
      </c>
      <c r="C2" s="253" t="s">
        <v>73</v>
      </c>
      <c r="D2" s="253" t="s">
        <v>312</v>
      </c>
      <c r="E2" s="253" t="s">
        <v>110</v>
      </c>
      <c r="F2" s="253" t="s">
        <v>111</v>
      </c>
      <c r="G2" s="258" t="s">
        <v>315</v>
      </c>
    </row>
    <row r="3" spans="2:10" x14ac:dyDescent="0.35">
      <c r="B3" s="252">
        <v>45658</v>
      </c>
      <c r="C3" s="254">
        <v>10.295556366977912</v>
      </c>
      <c r="D3" s="268">
        <f>AVERAGE(ControlChart[Measured Value])</f>
        <v>10.01884285768293</v>
      </c>
      <c r="E3" s="268">
        <f>ControlChart[[#This Row],[Average]]-$J$11</f>
        <v>9.3636882197738913</v>
      </c>
      <c r="F3" s="268">
        <f>ControlChart[[#This Row],[Average]]+$J$11</f>
        <v>10.673997495591969</v>
      </c>
      <c r="G3" s="272" t="str">
        <f>IF(OR(ControlChart[[#This Row],[Measured Value]]&lt;ControlChart[[#This Row],[Lower Limit]],ControlChart[[#This Row],[Measured Value]]&gt;ControlChart[[#This Row],[Upper Limit]]),"X","")</f>
        <v/>
      </c>
      <c r="I3" s="269" t="s">
        <v>313</v>
      </c>
      <c r="J3" s="270"/>
    </row>
    <row r="4" spans="2:10" ht="15" thickBot="1" x14ac:dyDescent="0.4">
      <c r="B4" s="252">
        <v>45659</v>
      </c>
      <c r="C4" s="254">
        <v>9.9319826905568682</v>
      </c>
      <c r="D4" s="268">
        <f>AVERAGE(ControlChart[Measured Value])</f>
        <v>10.01884285768293</v>
      </c>
      <c r="E4" s="268">
        <f>ControlChart[[#This Row],[Average]]-$J$11</f>
        <v>9.3636882197738913</v>
      </c>
      <c r="F4" s="268">
        <f>ControlChart[[#This Row],[Average]]+$J$11</f>
        <v>10.673997495591969</v>
      </c>
      <c r="G4" s="272" t="str">
        <f>IF(OR(ControlChart[[#This Row],[Measured Value]]&lt;ControlChart[[#This Row],[Lower Limit]],ControlChart[[#This Row],[Measured Value]]&gt;ControlChart[[#This Row],[Upper Limit]]),"X","")</f>
        <v/>
      </c>
      <c r="I4" s="53" t="s">
        <v>314</v>
      </c>
      <c r="J4" s="271">
        <v>3</v>
      </c>
    </row>
    <row r="5" spans="2:10" x14ac:dyDescent="0.35">
      <c r="B5" s="252">
        <v>45660</v>
      </c>
      <c r="C5" s="254">
        <v>10.212999568839253</v>
      </c>
      <c r="D5" s="268">
        <f>AVERAGE(ControlChart[Measured Value])</f>
        <v>10.01884285768293</v>
      </c>
      <c r="E5" s="268">
        <f>ControlChart[[#This Row],[Average]]-$J$11</f>
        <v>9.3636882197738913</v>
      </c>
      <c r="F5" s="268">
        <f>ControlChart[[#This Row],[Average]]+$J$11</f>
        <v>10.673997495591969</v>
      </c>
      <c r="G5" s="272" t="str">
        <f>IF(OR(ControlChart[[#This Row],[Measured Value]]&lt;ControlChart[[#This Row],[Lower Limit]],ControlChart[[#This Row],[Measured Value]]&gt;ControlChart[[#This Row],[Upper Limit]]),"X","")</f>
        <v/>
      </c>
    </row>
    <row r="6" spans="2:10" x14ac:dyDescent="0.35">
      <c r="B6" s="252">
        <v>45661</v>
      </c>
      <c r="C6" s="254">
        <v>9.9751069042060987</v>
      </c>
      <c r="D6" s="268">
        <f>AVERAGE(ControlChart[Measured Value])</f>
        <v>10.01884285768293</v>
      </c>
      <c r="E6" s="268">
        <f>ControlChart[[#This Row],[Average]]-$J$11</f>
        <v>9.3636882197738913</v>
      </c>
      <c r="F6" s="268">
        <f>ControlChart[[#This Row],[Average]]+$J$11</f>
        <v>10.673997495591969</v>
      </c>
      <c r="G6" s="272" t="str">
        <f>IF(OR(ControlChart[[#This Row],[Measured Value]]&lt;ControlChart[[#This Row],[Lower Limit]],ControlChart[[#This Row],[Measured Value]]&gt;ControlChart[[#This Row],[Upper Limit]]),"X","")</f>
        <v/>
      </c>
    </row>
    <row r="7" spans="2:10" x14ac:dyDescent="0.35">
      <c r="B7" s="252">
        <v>45662</v>
      </c>
      <c r="C7" s="254">
        <v>10.131177660744584</v>
      </c>
      <c r="D7" s="268">
        <f>AVERAGE(ControlChart[Measured Value])</f>
        <v>10.01884285768293</v>
      </c>
      <c r="E7" s="268">
        <f>ControlChart[[#This Row],[Average]]-$J$11</f>
        <v>9.3636882197738913</v>
      </c>
      <c r="F7" s="268">
        <f>ControlChart[[#This Row],[Average]]+$J$11</f>
        <v>10.673997495591969</v>
      </c>
      <c r="G7" s="272" t="str">
        <f>IF(OR(ControlChart[[#This Row],[Measured Value]]&lt;ControlChart[[#This Row],[Lower Limit]],ControlChart[[#This Row],[Measured Value]]&gt;ControlChart[[#This Row],[Upper Limit]]),"X","")</f>
        <v/>
      </c>
    </row>
    <row r="8" spans="2:10" x14ac:dyDescent="0.35">
      <c r="B8" s="252">
        <v>45663</v>
      </c>
      <c r="C8" s="254">
        <v>10.480883884740054</v>
      </c>
      <c r="D8" s="268">
        <f>AVERAGE(ControlChart[Measured Value])</f>
        <v>10.01884285768293</v>
      </c>
      <c r="E8" s="268">
        <f>ControlChart[[#This Row],[Average]]-$J$11</f>
        <v>9.3636882197738913</v>
      </c>
      <c r="F8" s="268">
        <f>ControlChart[[#This Row],[Average]]+$J$11</f>
        <v>10.673997495591969</v>
      </c>
      <c r="G8" s="272" t="str">
        <f>IF(OR(ControlChart[[#This Row],[Measured Value]]&lt;ControlChart[[#This Row],[Lower Limit]],ControlChart[[#This Row],[Measured Value]]&gt;ControlChart[[#This Row],[Upper Limit]]),"X","")</f>
        <v/>
      </c>
    </row>
    <row r="9" spans="2:10" x14ac:dyDescent="0.35">
      <c r="B9" s="252">
        <v>45664</v>
      </c>
      <c r="C9" s="254">
        <v>10.202730552171888</v>
      </c>
      <c r="D9" s="268">
        <f>AVERAGE(ControlChart[Measured Value])</f>
        <v>10.01884285768293</v>
      </c>
      <c r="E9" s="268">
        <f>ControlChart[[#This Row],[Average]]-$J$11</f>
        <v>9.3636882197738913</v>
      </c>
      <c r="F9" s="268">
        <f>ControlChart[[#This Row],[Average]]+$J$11</f>
        <v>10.673997495591969</v>
      </c>
      <c r="G9" s="272" t="str">
        <f>IF(OR(ControlChart[[#This Row],[Measured Value]]&lt;ControlChart[[#This Row],[Lower Limit]],ControlChart[[#This Row],[Measured Value]]&gt;ControlChart[[#This Row],[Upper Limit]]),"X","")</f>
        <v/>
      </c>
    </row>
    <row r="10" spans="2:10" x14ac:dyDescent="0.35">
      <c r="B10" s="252">
        <v>45665</v>
      </c>
      <c r="C10" s="254">
        <v>9.8118327828971328</v>
      </c>
      <c r="D10" s="268">
        <f>AVERAGE(ControlChart[Measured Value])</f>
        <v>10.01884285768293</v>
      </c>
      <c r="E10" s="268">
        <f>ControlChart[[#This Row],[Average]]-$J$11</f>
        <v>9.3636882197738913</v>
      </c>
      <c r="F10" s="268">
        <f>ControlChart[[#This Row],[Average]]+$J$11</f>
        <v>10.673997495591969</v>
      </c>
      <c r="G10" s="272" t="str">
        <f>IF(OR(ControlChart[[#This Row],[Measured Value]]&lt;ControlChart[[#This Row],[Lower Limit]],ControlChart[[#This Row],[Measured Value]]&gt;ControlChart[[#This Row],[Upper Limit]]),"X","")</f>
        <v/>
      </c>
    </row>
    <row r="11" spans="2:10" x14ac:dyDescent="0.35">
      <c r="B11" s="252">
        <v>45666</v>
      </c>
      <c r="C11" s="254">
        <v>9.9699926061992254</v>
      </c>
      <c r="D11" s="268">
        <f>AVERAGE(ControlChart[Measured Value])</f>
        <v>10.01884285768293</v>
      </c>
      <c r="E11" s="268">
        <f>ControlChart[[#This Row],[Average]]-$J$11</f>
        <v>9.3636882197738913</v>
      </c>
      <c r="F11" s="268">
        <f>ControlChart[[#This Row],[Average]]+$J$11</f>
        <v>10.673997495591969</v>
      </c>
      <c r="G11" s="272" t="str">
        <f>IF(OR(ControlChart[[#This Row],[Measured Value]]&lt;ControlChart[[#This Row],[Lower Limit]],ControlChart[[#This Row],[Measured Value]]&gt;ControlChart[[#This Row],[Upper Limit]]),"X","")</f>
        <v/>
      </c>
      <c r="I11" t="s">
        <v>311</v>
      </c>
      <c r="J11" s="254">
        <f>J4*_xlfn.STDEV.S(ControlChart[Measured Value])</f>
        <v>0.65515463790903894</v>
      </c>
    </row>
    <row r="12" spans="2:10" x14ac:dyDescent="0.35">
      <c r="B12" s="252">
        <v>45667</v>
      </c>
      <c r="C12" s="254">
        <v>9.8931377629392276</v>
      </c>
      <c r="D12" s="268">
        <f>AVERAGE(ControlChart[Measured Value])</f>
        <v>10.01884285768293</v>
      </c>
      <c r="E12" s="268">
        <f>ControlChart[[#This Row],[Average]]-$J$11</f>
        <v>9.3636882197738913</v>
      </c>
      <c r="F12" s="268">
        <f>ControlChart[[#This Row],[Average]]+$J$11</f>
        <v>10.673997495591969</v>
      </c>
      <c r="G12" s="272" t="str">
        <f>IF(OR(ControlChart[[#This Row],[Measured Value]]&lt;ControlChart[[#This Row],[Lower Limit]],ControlChart[[#This Row],[Measured Value]]&gt;ControlChart[[#This Row],[Upper Limit]]),"X","")</f>
        <v/>
      </c>
    </row>
    <row r="13" spans="2:10" x14ac:dyDescent="0.35">
      <c r="B13" s="252">
        <v>45668</v>
      </c>
      <c r="C13" s="254">
        <v>10.366260301555101</v>
      </c>
      <c r="D13" s="268">
        <f>AVERAGE(ControlChart[Measured Value])</f>
        <v>10.01884285768293</v>
      </c>
      <c r="E13" s="268">
        <f>ControlChart[[#This Row],[Average]]-$J$11</f>
        <v>9.3636882197738913</v>
      </c>
      <c r="F13" s="268">
        <f>ControlChart[[#This Row],[Average]]+$J$11</f>
        <v>10.673997495591969</v>
      </c>
      <c r="G13" s="272" t="str">
        <f>IF(OR(ControlChart[[#This Row],[Measured Value]]&lt;ControlChart[[#This Row],[Lower Limit]],ControlChart[[#This Row],[Measured Value]]&gt;ControlChart[[#This Row],[Upper Limit]]),"X","")</f>
        <v/>
      </c>
    </row>
    <row r="14" spans="2:10" x14ac:dyDescent="0.35">
      <c r="B14" s="252">
        <v>45669</v>
      </c>
      <c r="C14" s="254">
        <v>9.4771711313338809</v>
      </c>
      <c r="D14" s="268">
        <f>AVERAGE(ControlChart[Measured Value])</f>
        <v>10.01884285768293</v>
      </c>
      <c r="E14" s="268">
        <f>ControlChart[[#This Row],[Average]]-$J$11</f>
        <v>9.3636882197738913</v>
      </c>
      <c r="F14" s="268">
        <f>ControlChart[[#This Row],[Average]]+$J$11</f>
        <v>10.673997495591969</v>
      </c>
      <c r="G14" s="272" t="str">
        <f>IF(OR(ControlChart[[#This Row],[Measured Value]]&lt;ControlChart[[#This Row],[Lower Limit]],ControlChart[[#This Row],[Measured Value]]&gt;ControlChart[[#This Row],[Upper Limit]]),"X","")</f>
        <v/>
      </c>
    </row>
    <row r="15" spans="2:10" x14ac:dyDescent="0.35">
      <c r="B15" s="252">
        <v>45670</v>
      </c>
      <c r="C15" s="254">
        <v>9.9424653926582156</v>
      </c>
      <c r="D15" s="268">
        <f>AVERAGE(ControlChart[Measured Value])</f>
        <v>10.01884285768293</v>
      </c>
      <c r="E15" s="268">
        <f>ControlChart[[#This Row],[Average]]-$J$11</f>
        <v>9.3636882197738913</v>
      </c>
      <c r="F15" s="268">
        <f>ControlChart[[#This Row],[Average]]+$J$11</f>
        <v>10.673997495591969</v>
      </c>
      <c r="G15" s="272" t="str">
        <f>IF(OR(ControlChart[[#This Row],[Measured Value]]&lt;ControlChart[[#This Row],[Lower Limit]],ControlChart[[#This Row],[Measured Value]]&gt;ControlChart[[#This Row],[Upper Limit]]),"X","")</f>
        <v/>
      </c>
    </row>
    <row r="16" spans="2:10" x14ac:dyDescent="0.35">
      <c r="B16" s="252">
        <v>45671</v>
      </c>
      <c r="C16" s="254">
        <v>10.03612775456709</v>
      </c>
      <c r="D16" s="268">
        <f>AVERAGE(ControlChart[Measured Value])</f>
        <v>10.01884285768293</v>
      </c>
      <c r="E16" s="268">
        <f>ControlChart[[#This Row],[Average]]-$J$11</f>
        <v>9.3636882197738913</v>
      </c>
      <c r="F16" s="268">
        <f>ControlChart[[#This Row],[Average]]+$J$11</f>
        <v>10.673997495591969</v>
      </c>
      <c r="G16" s="272" t="str">
        <f>IF(OR(ControlChart[[#This Row],[Measured Value]]&lt;ControlChart[[#This Row],[Lower Limit]],ControlChart[[#This Row],[Measured Value]]&gt;ControlChart[[#This Row],[Upper Limit]]),"X","")</f>
        <v/>
      </c>
    </row>
    <row r="17" spans="2:10" x14ac:dyDescent="0.35">
      <c r="B17" s="252">
        <v>45672</v>
      </c>
      <c r="C17" s="254">
        <v>9.7603203045565525</v>
      </c>
      <c r="D17" s="268">
        <f>AVERAGE(ControlChart[Measured Value])</f>
        <v>10.01884285768293</v>
      </c>
      <c r="E17" s="268">
        <f>ControlChart[[#This Row],[Average]]-$J$11</f>
        <v>9.3636882197738913</v>
      </c>
      <c r="F17" s="268">
        <f>ControlChart[[#This Row],[Average]]+$J$11</f>
        <v>10.673997495591969</v>
      </c>
      <c r="G17" s="272" t="str">
        <f>IF(OR(ControlChart[[#This Row],[Measured Value]]&lt;ControlChart[[#This Row],[Lower Limit]],ControlChart[[#This Row],[Measured Value]]&gt;ControlChart[[#This Row],[Upper Limit]]),"X","")</f>
        <v/>
      </c>
    </row>
    <row r="18" spans="2:10" x14ac:dyDescent="0.35">
      <c r="B18" s="252">
        <v>45673</v>
      </c>
      <c r="C18" s="254">
        <v>10.188732931728623</v>
      </c>
      <c r="D18" s="268">
        <f>AVERAGE(ControlChart[Measured Value])</f>
        <v>10.01884285768293</v>
      </c>
      <c r="E18" s="268">
        <f>ControlChart[[#This Row],[Average]]-$J$11</f>
        <v>9.3636882197738913</v>
      </c>
      <c r="F18" s="268">
        <f>ControlChart[[#This Row],[Average]]+$J$11</f>
        <v>10.673997495591969</v>
      </c>
      <c r="G18" s="272" t="str">
        <f>IF(OR(ControlChart[[#This Row],[Measured Value]]&lt;ControlChart[[#This Row],[Lower Limit]],ControlChart[[#This Row],[Measured Value]]&gt;ControlChart[[#This Row],[Upper Limit]]),"X","")</f>
        <v/>
      </c>
    </row>
    <row r="19" spans="2:10" x14ac:dyDescent="0.35">
      <c r="B19" s="252">
        <v>45674</v>
      </c>
      <c r="C19" s="254">
        <v>10.013068332450349</v>
      </c>
      <c r="D19" s="268">
        <f>AVERAGE(ControlChart[Measured Value])</f>
        <v>10.01884285768293</v>
      </c>
      <c r="E19" s="268">
        <f>ControlChart[[#This Row],[Average]]-$J$11</f>
        <v>9.3636882197738913</v>
      </c>
      <c r="F19" s="268">
        <f>ControlChart[[#This Row],[Average]]+$J$11</f>
        <v>10.673997495591969</v>
      </c>
      <c r="G19" s="272" t="str">
        <f>IF(OR(ControlChart[[#This Row],[Measured Value]]&lt;ControlChart[[#This Row],[Lower Limit]],ControlChart[[#This Row],[Measured Value]]&gt;ControlChart[[#This Row],[Upper Limit]]),"X","")</f>
        <v/>
      </c>
    </row>
    <row r="20" spans="2:10" x14ac:dyDescent="0.35">
      <c r="B20" s="252">
        <v>45675</v>
      </c>
      <c r="C20" s="254">
        <v>9.9492649924790086</v>
      </c>
      <c r="D20" s="268">
        <f>AVERAGE(ControlChart[Measured Value])</f>
        <v>10.01884285768293</v>
      </c>
      <c r="E20" s="268">
        <f>ControlChart[[#This Row],[Average]]-$J$11</f>
        <v>9.3636882197738913</v>
      </c>
      <c r="F20" s="268">
        <f>ControlChart[[#This Row],[Average]]+$J$11</f>
        <v>10.673997495591969</v>
      </c>
      <c r="G20" s="272" t="str">
        <f>IF(OR(ControlChart[[#This Row],[Measured Value]]&lt;ControlChart[[#This Row],[Lower Limit]],ControlChart[[#This Row],[Measured Value]]&gt;ControlChart[[#This Row],[Upper Limit]]),"X","")</f>
        <v/>
      </c>
    </row>
    <row r="21" spans="2:10" x14ac:dyDescent="0.35">
      <c r="B21" s="252">
        <v>45676</v>
      </c>
      <c r="C21" s="254">
        <v>10.019900446847869</v>
      </c>
      <c r="D21" s="268">
        <f>AVERAGE(ControlChart[Measured Value])</f>
        <v>10.01884285768293</v>
      </c>
      <c r="E21" s="268">
        <f>ControlChart[[#This Row],[Average]]-$J$11</f>
        <v>9.3636882197738913</v>
      </c>
      <c r="F21" s="268">
        <f>ControlChart[[#This Row],[Average]]+$J$11</f>
        <v>10.673997495591969</v>
      </c>
      <c r="G21" s="272" t="str">
        <f>IF(OR(ControlChart[[#This Row],[Measured Value]]&lt;ControlChart[[#This Row],[Lower Limit]],ControlChart[[#This Row],[Measured Value]]&gt;ControlChart[[#This Row],[Upper Limit]]),"X","")</f>
        <v/>
      </c>
    </row>
    <row r="22" spans="2:10" x14ac:dyDescent="0.35">
      <c r="B22" s="252">
        <v>45677</v>
      </c>
      <c r="C22" s="254">
        <v>9.769892868040996</v>
      </c>
      <c r="D22" s="268">
        <f>AVERAGE(ControlChart[Measured Value])</f>
        <v>10.01884285768293</v>
      </c>
      <c r="E22" s="268">
        <f>ControlChart[[#This Row],[Average]]-$J$11</f>
        <v>9.3636882197738913</v>
      </c>
      <c r="F22" s="268">
        <f>ControlChart[[#This Row],[Average]]+$J$11</f>
        <v>10.673997495591969</v>
      </c>
      <c r="G22" s="272" t="str">
        <f>IF(OR(ControlChart[[#This Row],[Measured Value]]&lt;ControlChart[[#This Row],[Lower Limit]],ControlChart[[#This Row],[Measured Value]]&gt;ControlChart[[#This Row],[Upper Limit]]),"X","")</f>
        <v/>
      </c>
    </row>
    <row r="23" spans="2:10" x14ac:dyDescent="0.35">
      <c r="B23" s="252">
        <v>45678</v>
      </c>
      <c r="C23" s="254">
        <v>10.086149627084318</v>
      </c>
      <c r="D23" s="268">
        <f>AVERAGE(ControlChart[Measured Value])</f>
        <v>10.01884285768293</v>
      </c>
      <c r="E23" s="268">
        <f>ControlChart[[#This Row],[Average]]-$J$11</f>
        <v>9.3636882197738913</v>
      </c>
      <c r="F23" s="268">
        <f>ControlChart[[#This Row],[Average]]+$J$11</f>
        <v>10.673997495591969</v>
      </c>
      <c r="G23" s="272" t="str">
        <f>IF(OR(ControlChart[[#This Row],[Measured Value]]&lt;ControlChart[[#This Row],[Lower Limit]],ControlChart[[#This Row],[Measured Value]]&gt;ControlChart[[#This Row],[Upper Limit]]),"X","")</f>
        <v/>
      </c>
      <c r="J23" s="252"/>
    </row>
    <row r="24" spans="2:10" x14ac:dyDescent="0.35">
      <c r="B24" s="252">
        <v>45679</v>
      </c>
      <c r="C24" s="254">
        <v>9.9189550578836627</v>
      </c>
      <c r="D24" s="268">
        <f>AVERAGE(ControlChart[Measured Value])</f>
        <v>10.01884285768293</v>
      </c>
      <c r="E24" s="268">
        <f>ControlChart[[#This Row],[Average]]-$J$11</f>
        <v>9.3636882197738913</v>
      </c>
      <c r="F24" s="268">
        <f>ControlChart[[#This Row],[Average]]+$J$11</f>
        <v>10.673997495591969</v>
      </c>
      <c r="G24" s="272" t="str">
        <f>IF(OR(ControlChart[[#This Row],[Measured Value]]&lt;ControlChart[[#This Row],[Lower Limit]],ControlChart[[#This Row],[Measured Value]]&gt;ControlChart[[#This Row],[Upper Limit]]),"X","")</f>
        <v/>
      </c>
      <c r="J24" s="252"/>
    </row>
    <row r="25" spans="2:10" x14ac:dyDescent="0.35">
      <c r="B25" s="252">
        <v>45680</v>
      </c>
      <c r="C25" s="254">
        <v>9.9183113218113466</v>
      </c>
      <c r="D25" s="268">
        <f>AVERAGE(ControlChart[Measured Value])</f>
        <v>10.01884285768293</v>
      </c>
      <c r="E25" s="268">
        <f>ControlChart[[#This Row],[Average]]-$J$11</f>
        <v>9.3636882197738913</v>
      </c>
      <c r="F25" s="268">
        <f>ControlChart[[#This Row],[Average]]+$J$11</f>
        <v>10.673997495591969</v>
      </c>
      <c r="G25" s="272" t="str">
        <f>IF(OR(ControlChart[[#This Row],[Measured Value]]&lt;ControlChart[[#This Row],[Lower Limit]],ControlChart[[#This Row],[Measured Value]]&gt;ControlChart[[#This Row],[Upper Limit]]),"X","")</f>
        <v/>
      </c>
    </row>
    <row r="26" spans="2:10" x14ac:dyDescent="0.35">
      <c r="B26" s="252">
        <v>45681</v>
      </c>
      <c r="C26" s="254">
        <v>10.297182032393824</v>
      </c>
      <c r="D26" s="268">
        <f>AVERAGE(ControlChart[Measured Value])</f>
        <v>10.01884285768293</v>
      </c>
      <c r="E26" s="268">
        <f>ControlChart[[#This Row],[Average]]-$J$11</f>
        <v>9.3636882197738913</v>
      </c>
      <c r="F26" s="268">
        <f>ControlChart[[#This Row],[Average]]+$J$11</f>
        <v>10.673997495591969</v>
      </c>
      <c r="G26" s="272" t="str">
        <f>IF(OR(ControlChart[[#This Row],[Measured Value]]&lt;ControlChart[[#This Row],[Lower Limit]],ControlChart[[#This Row],[Measured Value]]&gt;ControlChart[[#This Row],[Upper Limit]]),"X","")</f>
        <v/>
      </c>
    </row>
    <row r="27" spans="2:10" x14ac:dyDescent="0.35">
      <c r="B27" s="252">
        <v>45682</v>
      </c>
      <c r="C27" s="254">
        <v>10.067567930799566</v>
      </c>
      <c r="D27" s="268">
        <f>AVERAGE(ControlChart[Measured Value])</f>
        <v>10.01884285768293</v>
      </c>
      <c r="E27" s="268">
        <f>ControlChart[[#This Row],[Average]]-$J$11</f>
        <v>9.3636882197738913</v>
      </c>
      <c r="F27" s="268">
        <f>ControlChart[[#This Row],[Average]]+$J$11</f>
        <v>10.673997495591969</v>
      </c>
      <c r="G27" s="272" t="str">
        <f>IF(OR(ControlChart[[#This Row],[Measured Value]]&lt;ControlChart[[#This Row],[Lower Limit]],ControlChart[[#This Row],[Measured Value]]&gt;ControlChart[[#This Row],[Upper Limit]]),"X","")</f>
        <v/>
      </c>
    </row>
    <row r="28" spans="2:10" x14ac:dyDescent="0.35">
      <c r="B28" s="252">
        <v>45683</v>
      </c>
      <c r="C28" s="254">
        <v>9.7731430932935321</v>
      </c>
      <c r="D28" s="268">
        <f>AVERAGE(ControlChart[Measured Value])</f>
        <v>10.01884285768293</v>
      </c>
      <c r="E28" s="268">
        <f>ControlChart[[#This Row],[Average]]-$J$11</f>
        <v>9.3636882197738913</v>
      </c>
      <c r="F28" s="268">
        <f>ControlChart[[#This Row],[Average]]+$J$11</f>
        <v>10.673997495591969</v>
      </c>
      <c r="G28" s="272" t="str">
        <f>IF(OR(ControlChart[[#This Row],[Measured Value]]&lt;ControlChart[[#This Row],[Lower Limit]],ControlChart[[#This Row],[Measured Value]]&gt;ControlChart[[#This Row],[Upper Limit]]),"X","")</f>
        <v/>
      </c>
    </row>
  </sheetData>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Instructions</vt:lpstr>
      <vt:lpstr>MAP-TUR</vt:lpstr>
      <vt:lpstr>MAP-PFA</vt:lpstr>
      <vt:lpstr>Equipment</vt:lpstr>
      <vt:lpstr>Type A - Repeatability</vt:lpstr>
      <vt:lpstr>Type A - Reproducibility</vt:lpstr>
      <vt:lpstr>GUM Uncertainty</vt:lpstr>
      <vt:lpstr>Intervals</vt:lpstr>
      <vt:lpstr>SPC</vt:lpstr>
      <vt:lpstr>Prof.Test</vt:lpstr>
      <vt:lpstr>Risk Calculator</vt:lpstr>
      <vt:lpstr>Criticality Levels</vt:lpstr>
      <vt:lpstr>Formula Reference</vt:lpstr>
      <vt:lpstr>Release Notes</vt:lpstr>
      <vt:lpstr>Lookup</vt:lpstr>
      <vt:lpstr>Intervals!ChangeConfidence</vt:lpstr>
      <vt:lpstr>'GUM Uncertainty'!GUMOutputVariance</vt:lpstr>
      <vt:lpstr>'GUM Uncertainty'!GUMSensitivities</vt:lpstr>
      <vt:lpstr>'GUM Uncertainty'!GUMStdUncerts</vt:lpstr>
      <vt:lpstr>'GUM Uncertainty'!GUMVariance</vt:lpstr>
      <vt:lpstr>Intervals!IntervalTolerance</vt:lpstr>
      <vt:lpstr>Intervals!MaxChange</vt:lpstr>
      <vt:lpstr>'GUM Uncertainty'!MeasurandCoverageFactor</vt:lpstr>
      <vt:lpstr>'GUM Uncertainty'!MeasurandDegf</vt:lpstr>
      <vt:lpstr>'GUM Uncertainty'!MeasurandNames</vt:lpstr>
      <vt:lpstr>'GUM Uncertainty'!MeasurandUncertainty</vt:lpstr>
      <vt:lpstr>'GUM Uncertainty'!MeasuredValues</vt:lpstr>
      <vt:lpstr>Intervals!NumCals</vt:lpstr>
      <vt:lpstr>Intervals!NumPass</vt:lpstr>
      <vt:lpstr>Intervals!RejectionConfidence</vt:lpstr>
      <vt:lpstr>Intervals!ReliabilityObs</vt:lpstr>
      <vt:lpstr>Intervals!ReliabilityTarget</vt:lpstr>
      <vt:lpstr>Intervals!TestInterval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Delker, Collin James</dc:creator>
  <cp:lastModifiedBy>uncertainty@sandia.gov</cp:lastModifiedBy>
  <dcterms:created xsi:type="dcterms:W3CDTF">2024-08-08T20:48:18Z</dcterms:created>
  <dcterms:modified xsi:type="dcterms:W3CDTF">2026-05-21T17:38:50Z</dcterms:modified>
</cp:coreProperties>
</file>